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505" activeTab="0"/>
  </bookViews>
  <sheets>
    <sheet name="Forecast-Reyn-2014" sheetId="1" r:id="rId1"/>
    <sheet name="Forecast-Gahanna-2014" sheetId="2" r:id="rId2"/>
    <sheet name="Forecast-Groveport-2014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<sst xmlns="http://schemas.openxmlformats.org/spreadsheetml/2006/main" count="15" uniqueCount="7">
  <si>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>Reynoldsburg Five Year Forecast for Fiscal Year 2014</t>
  </si>
  <si>
    <t>Actual</t>
  </si>
  <si>
    <t>Forecasted</t>
  </si>
  <si>
    <t>Line</t>
  </si>
  <si>
    <t>Notes to the Five Year Forecast</t>
  </si>
  <si>
    <t>Gahanna-Jefferson Five Year Forecast for Fiscal Year 2014</t>
  </si>
  <si>
    <t>Groveport Madison Five Year Forecast for Fiscal Year 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</si>
</sst>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3.5"/>
      <color indexed="9"/>
      <name val="Times New Roman"/>
      <family val="1"/>
    </font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0"/>
    </font>
    <font>
      <u val="single"/>
      <sz val="10"/>
      <name val="Arial"/>
      <family val="0"/>
    </font>
    <font>
      <sz val="8"/>
      <name val="Courier"/>
      <family val="3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8">
    <border>
      <left/>
      <right/>
      <top/>
      <bottom/>
      <diagonal/>
    </border>
    <border>
      <left style="medium">
        <color indexed="29"/>
      </left>
      <right style="medium">
        <color indexed="29"/>
      </right>
      <top style="medium">
        <color indexed="29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29"/>
      </left>
      <right>
        <color indexed="63"/>
      </right>
      <top style="medium">
        <color indexed="29"/>
      </top>
      <bottom style="medium">
        <color indexed="29"/>
      </bottom>
    </border>
    <border>
      <left>
        <color indexed="63"/>
      </left>
      <right>
        <color indexed="63"/>
      </right>
      <top style="medium">
        <color indexed="29"/>
      </top>
      <bottom style="medium">
        <color indexed="29"/>
      </bottom>
    </border>
    <border>
      <left>
        <color indexed="63"/>
      </left>
      <right style="medium">
        <color indexed="29"/>
      </right>
      <top style="medium">
        <color indexed="29"/>
      </top>
      <bottom style="medium">
        <color indexed="2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3" fontId="0" fillId="0" borderId="0" xfId="0" applyNumberFormat="1" applyAlignment="1">
      <alignment horizontal="right" vertical="top" wrapText="1"/>
    </xf>
    <xf numFmtId="9" fontId="0" fillId="0" borderId="0" xfId="21" applyBorder="1" applyAlignment="1">
      <alignment vertical="top"/>
    </xf>
    <xf numFmtId="0" fontId="0" fillId="0" borderId="0" xfId="0" applyAlignment="1">
      <alignment horizontal="right" vertical="top" wrapText="1"/>
    </xf>
    <xf numFmtId="3" fontId="0" fillId="0" borderId="3" xfId="0" applyNumberFormat="1" applyBorder="1" applyAlignment="1">
      <alignment horizontal="right" vertical="top" wrapText="1"/>
    </xf>
    <xf numFmtId="3" fontId="0" fillId="0" borderId="4" xfId="0" applyNumberFormat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9" fontId="0" fillId="0" borderId="0" xfId="21" applyAlignment="1">
      <alignment vertical="top"/>
    </xf>
    <xf numFmtId="0" fontId="3" fillId="2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3"/>
  <sheetViews>
    <sheetView showGridLines="0" tabSelected="1" workbookViewId="0" topLeftCell="A1">
      <selection activeCell="B9" sqref="B9"/>
    </sheetView>
  </sheetViews>
  <sheetFormatPr defaultColWidth="9.140625" defaultRowHeight="12.75"/>
  <cols>
    <col min="1" max="1" width="29.8515625" style="0" customWidth="1"/>
    <col min="2" max="9" width="10.140625" style="0" customWidth="1"/>
  </cols>
  <sheetData>
    <row r="1" spans="1:9" ht="18" thickBot="1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ht="12.75">
      <c r="A2" s="1"/>
    </row>
    <row r="3" s="2" customFormat="1" ht="12.75">
      <c r="A3" s="3" t="str">
        <f>"District Type: City"</f>
        <v>District Type: City</v>
      </c>
    </row>
    <row r="4" s="2" customFormat="1" ht="12.75">
      <c r="A4" s="3" t="str">
        <f>"IRN: 047001"</f>
        <v>IRN: 047001</v>
      </c>
    </row>
    <row r="5" s="2" customFormat="1" ht="12.75">
      <c r="A5" s="3" t="str">
        <f>"County: Franklin "</f>
        <v>County: Franklin </v>
      </c>
    </row>
    <row r="6" spans="1:4" s="2" customFormat="1" ht="12.75">
      <c r="A6" s="3" t="str">
        <f>"Date Submitted: 5/23/2014 Date Processed: 6/4/2014"</f>
        <v>Date Submitted: 5/23/2014 Date Processed: 6/4/2014</v>
      </c>
      <c r="B6" s="3"/>
      <c r="C6" s="3"/>
      <c r="D6" s="3"/>
    </row>
    <row r="7" spans="1:11" s="2" customFormat="1" ht="13.5" thickBot="1">
      <c r="A7" s="4"/>
      <c r="J7" s="5"/>
      <c r="K7" s="5"/>
    </row>
    <row r="8" spans="2:9" s="2" customFormat="1" ht="13.5" thickBot="1">
      <c r="B8" s="16" t="s">
        <v>1</v>
      </c>
      <c r="C8" s="17"/>
      <c r="D8" s="18"/>
      <c r="E8" s="16" t="s">
        <v>2</v>
      </c>
      <c r="F8" s="17"/>
      <c r="G8" s="17"/>
      <c r="H8" s="17"/>
      <c r="I8" s="18"/>
    </row>
    <row r="9" spans="1:10" s="2" customFormat="1" ht="13.5" thickBot="1">
      <c r="A9" s="6" t="s">
        <v>3</v>
      </c>
      <c r="B9" s="7">
        <v>2011</v>
      </c>
      <c r="C9" s="7">
        <v>2012</v>
      </c>
      <c r="D9" s="7">
        <v>2013</v>
      </c>
      <c r="E9" s="7">
        <v>2014</v>
      </c>
      <c r="F9" s="7">
        <v>2015</v>
      </c>
      <c r="G9" s="7">
        <v>2016</v>
      </c>
      <c r="H9" s="7">
        <v>2017</v>
      </c>
      <c r="I9" s="7">
        <v>2018</v>
      </c>
      <c r="J9" s="8"/>
    </row>
    <row r="10" spans="1:11" s="2" customFormat="1" ht="12.75">
      <c r="A10" s="2" t="str">
        <f>"1.010 General Property (Real Estate)"</f>
        <v>1.010 General Property (Real Estate)</v>
      </c>
      <c r="B10" s="9">
        <v>19094103</v>
      </c>
      <c r="C10" s="9">
        <v>21270989</v>
      </c>
      <c r="D10" s="9">
        <v>21090068</v>
      </c>
      <c r="E10" s="9">
        <v>21533938</v>
      </c>
      <c r="F10" s="9">
        <v>22110797</v>
      </c>
      <c r="G10" s="9">
        <v>22110797</v>
      </c>
      <c r="H10" s="9">
        <v>22110797</v>
      </c>
      <c r="I10" s="9">
        <v>22110797</v>
      </c>
      <c r="J10" s="10"/>
      <c r="K10" s="10"/>
    </row>
    <row r="11" spans="1:5" s="2" customFormat="1" ht="12.75">
      <c r="A11" s="2" t="str">
        <f>"1.020 Tangible Personal Property Tax"</f>
        <v>1.020 Tangible Personal Property Tax</v>
      </c>
      <c r="B11" s="9">
        <v>44524</v>
      </c>
      <c r="C11" s="9">
        <v>11552</v>
      </c>
      <c r="D11" s="11">
        <v>14</v>
      </c>
      <c r="E11" s="9">
        <v>18289</v>
      </c>
    </row>
    <row r="12" spans="1:11" s="2" customFormat="1" ht="12.75">
      <c r="A12" s="2" t="str">
        <f>"1.030 Income Tax"</f>
        <v>1.030 Income Tax</v>
      </c>
      <c r="B12" s="9">
        <v>4163559</v>
      </c>
      <c r="C12" s="9">
        <v>4534767</v>
      </c>
      <c r="D12" s="9">
        <v>4648874</v>
      </c>
      <c r="E12" s="9">
        <v>4729063</v>
      </c>
      <c r="F12" s="9">
        <v>4729063</v>
      </c>
      <c r="G12" s="9">
        <v>4729063</v>
      </c>
      <c r="H12" s="9">
        <v>4729063</v>
      </c>
      <c r="I12" s="9">
        <v>4729063</v>
      </c>
      <c r="J12" s="10"/>
      <c r="K12" s="10"/>
    </row>
    <row r="13" spans="1:11" s="2" customFormat="1" ht="12.75">
      <c r="A13" s="2" t="str">
        <f>"1.035 Unrestricted Grants-in-Aid"</f>
        <v>1.035 Unrestricted Grants-in-Aid</v>
      </c>
      <c r="B13" s="9">
        <v>24148925</v>
      </c>
      <c r="C13" s="9">
        <v>25049775</v>
      </c>
      <c r="D13" s="9">
        <v>26242819</v>
      </c>
      <c r="E13" s="9">
        <v>28711087</v>
      </c>
      <c r="F13" s="9">
        <v>30164224</v>
      </c>
      <c r="G13" s="9">
        <v>30164224</v>
      </c>
      <c r="H13" s="9">
        <v>30164224</v>
      </c>
      <c r="I13" s="9">
        <v>30164224</v>
      </c>
      <c r="J13" s="10"/>
      <c r="K13" s="10"/>
    </row>
    <row r="14" spans="1:4" s="2" customFormat="1" ht="12.75">
      <c r="A14" s="2" t="str">
        <f>"1.040 Restricted Grants-in-Aid"</f>
        <v>1.040 Restricted Grants-in-Aid</v>
      </c>
      <c r="B14" s="9">
        <v>89615</v>
      </c>
      <c r="C14" s="9">
        <v>89615</v>
      </c>
      <c r="D14" s="9">
        <v>89615</v>
      </c>
    </row>
    <row r="15" spans="1:4" s="2" customFormat="1" ht="12.75">
      <c r="A15" s="2" t="str">
        <f>"1.045 Restricted Federal Grants-in-Aid - SFSF"</f>
        <v>1.045 Restricted Federal Grants-in-Aid - SFSF</v>
      </c>
      <c r="B15" s="9">
        <v>2086964</v>
      </c>
      <c r="C15" s="9">
        <v>1067966</v>
      </c>
      <c r="D15" s="9">
        <v>233276</v>
      </c>
    </row>
    <row r="16" spans="1:9" s="2" customFormat="1" ht="12.75">
      <c r="A16" s="2" t="str">
        <f>"1.050 Property Tax Allocation"</f>
        <v>1.050 Property Tax Allocation</v>
      </c>
      <c r="B16" s="9">
        <v>3477577</v>
      </c>
      <c r="C16" s="9">
        <v>2790497</v>
      </c>
      <c r="D16" s="9">
        <v>2825221</v>
      </c>
      <c r="E16" s="9">
        <v>2957318</v>
      </c>
      <c r="F16" s="9">
        <v>2958134</v>
      </c>
      <c r="G16" s="9">
        <v>2958134</v>
      </c>
      <c r="H16" s="9">
        <v>2958134</v>
      </c>
      <c r="I16" s="9">
        <v>2958134</v>
      </c>
    </row>
    <row r="17" spans="1:9" s="2" customFormat="1" ht="12.75">
      <c r="A17" s="2" t="str">
        <f>"1.060 All Other Operating Revenue"</f>
        <v>1.060 All Other Operating Revenue</v>
      </c>
      <c r="B17" s="9">
        <v>2614560</v>
      </c>
      <c r="C17" s="9">
        <v>3460452</v>
      </c>
      <c r="D17" s="9">
        <v>4689687</v>
      </c>
      <c r="E17" s="9">
        <v>5175665</v>
      </c>
      <c r="F17" s="9">
        <v>5152593</v>
      </c>
      <c r="G17" s="9">
        <v>5152593</v>
      </c>
      <c r="H17" s="9">
        <v>5152593</v>
      </c>
      <c r="I17" s="9">
        <v>5152593</v>
      </c>
    </row>
    <row r="18" spans="1:9" s="2" customFormat="1" ht="12.75">
      <c r="A18" s="2" t="str">
        <f>"1.070 Total Revenue"</f>
        <v>1.070 Total Revenue</v>
      </c>
      <c r="B18" s="12">
        <v>55719827</v>
      </c>
      <c r="C18" s="12">
        <v>58275613</v>
      </c>
      <c r="D18" s="12">
        <v>59819574</v>
      </c>
      <c r="E18" s="12">
        <v>63125360</v>
      </c>
      <c r="F18" s="12">
        <v>65114811</v>
      </c>
      <c r="G18" s="12">
        <v>65114811</v>
      </c>
      <c r="H18" s="12">
        <v>65114811</v>
      </c>
      <c r="I18" s="12">
        <v>65114811</v>
      </c>
    </row>
    <row r="19" spans="1:2" s="2" customFormat="1" ht="12.75">
      <c r="A19" s="2" t="str">
        <f>"2.040 Operating Transfers-In"</f>
        <v>2.040 Operating Transfers-In</v>
      </c>
      <c r="B19" s="9">
        <v>137589</v>
      </c>
    </row>
    <row r="20" spans="1:9" s="2" customFormat="1" ht="12.75">
      <c r="A20" s="2" t="str">
        <f>"2.050 Advances-In"</f>
        <v>2.050 Advances-In</v>
      </c>
      <c r="B20" s="9">
        <v>159500</v>
      </c>
      <c r="C20" s="9">
        <v>158500</v>
      </c>
      <c r="D20" s="9">
        <v>189000</v>
      </c>
      <c r="E20" s="9">
        <v>117000</v>
      </c>
      <c r="F20" s="9">
        <v>145305</v>
      </c>
      <c r="G20" s="9">
        <v>75000</v>
      </c>
      <c r="H20" s="9">
        <v>75000</v>
      </c>
      <c r="I20" s="9">
        <v>75000</v>
      </c>
    </row>
    <row r="21" spans="1:9" s="2" customFormat="1" ht="12.75">
      <c r="A21" s="2" t="str">
        <f>"2.060 All Other Financial Sources"</f>
        <v>2.060 All Other Financial Sources</v>
      </c>
      <c r="B21" s="9">
        <v>12901</v>
      </c>
      <c r="C21" s="9">
        <v>184773</v>
      </c>
      <c r="D21" s="9">
        <v>27430</v>
      </c>
      <c r="E21" s="9">
        <v>200000</v>
      </c>
      <c r="F21" s="9">
        <v>60000</v>
      </c>
      <c r="G21" s="9">
        <v>60000</v>
      </c>
      <c r="H21" s="9">
        <v>60000</v>
      </c>
      <c r="I21" s="9">
        <v>60000</v>
      </c>
    </row>
    <row r="22" spans="1:9" s="2" customFormat="1" ht="12.75">
      <c r="A22" s="2" t="str">
        <f>"2.070 Total Other Financing Sources"</f>
        <v>2.070 Total Other Financing Sources</v>
      </c>
      <c r="B22" s="12">
        <v>309990</v>
      </c>
      <c r="C22" s="12">
        <v>343273</v>
      </c>
      <c r="D22" s="12">
        <v>216430</v>
      </c>
      <c r="E22" s="12">
        <v>317000</v>
      </c>
      <c r="F22" s="12">
        <v>205305</v>
      </c>
      <c r="G22" s="12">
        <v>135000</v>
      </c>
      <c r="H22" s="12">
        <v>135000</v>
      </c>
      <c r="I22" s="12">
        <v>135000</v>
      </c>
    </row>
    <row r="23" spans="1:9" s="2" customFormat="1" ht="13.5" thickBot="1">
      <c r="A23" s="2" t="str">
        <f>"2.080 Total Revenues and Other Financing Sources"</f>
        <v>2.080 Total Revenues and Other Financing Sources</v>
      </c>
      <c r="B23" s="13">
        <v>56029817</v>
      </c>
      <c r="C23" s="13">
        <v>58618886</v>
      </c>
      <c r="D23" s="13">
        <v>60036004</v>
      </c>
      <c r="E23" s="13">
        <v>63442360</v>
      </c>
      <c r="F23" s="13">
        <v>65320116</v>
      </c>
      <c r="G23" s="13">
        <v>65249811</v>
      </c>
      <c r="H23" s="13">
        <v>65249811</v>
      </c>
      <c r="I23" s="13">
        <v>65249811</v>
      </c>
    </row>
    <row r="24" spans="1:9" s="2" customFormat="1" ht="13.5" thickTop="1">
      <c r="A24" s="2" t="str">
        <f>"3.010 Personnel Services"</f>
        <v>3.010 Personnel Services</v>
      </c>
      <c r="B24" s="9">
        <v>29359356</v>
      </c>
      <c r="C24" s="9">
        <v>29326868</v>
      </c>
      <c r="D24" s="9">
        <v>29318636</v>
      </c>
      <c r="E24" s="9">
        <v>29656778</v>
      </c>
      <c r="F24" s="9">
        <v>30126778</v>
      </c>
      <c r="G24" s="9">
        <v>30681778</v>
      </c>
      <c r="H24" s="9">
        <v>31281778</v>
      </c>
      <c r="I24" s="9">
        <v>31881778</v>
      </c>
    </row>
    <row r="25" spans="1:15" s="2" customFormat="1" ht="12.75">
      <c r="A25" s="2" t="str">
        <f>"3.020 Employees' Retirement/Insurance Benefits"</f>
        <v>3.020 Employees' Retirement/Insurance Benefits</v>
      </c>
      <c r="B25" s="9">
        <v>11340629</v>
      </c>
      <c r="C25" s="9">
        <v>12181238</v>
      </c>
      <c r="D25" s="9">
        <v>12134007</v>
      </c>
      <c r="E25" s="9">
        <v>12635422</v>
      </c>
      <c r="F25" s="9">
        <v>13098944</v>
      </c>
      <c r="G25" s="9">
        <v>13569863</v>
      </c>
      <c r="H25" s="9">
        <v>14451630</v>
      </c>
      <c r="I25" s="9">
        <v>15410203</v>
      </c>
      <c r="J25" s="10"/>
      <c r="K25" s="10"/>
      <c r="L25" s="10"/>
      <c r="M25" s="10"/>
      <c r="N25" s="10"/>
      <c r="O25" s="10"/>
    </row>
    <row r="26" spans="1:9" s="2" customFormat="1" ht="12.75">
      <c r="A26" s="2" t="str">
        <f>"3.030 Purchased Services"</f>
        <v>3.030 Purchased Services</v>
      </c>
      <c r="B26" s="9">
        <v>9769315</v>
      </c>
      <c r="C26" s="9">
        <v>10638557</v>
      </c>
      <c r="D26" s="9">
        <v>11447675</v>
      </c>
      <c r="E26" s="9">
        <v>13127064</v>
      </c>
      <c r="F26" s="9">
        <v>13583332</v>
      </c>
      <c r="G26" s="9">
        <v>14027207</v>
      </c>
      <c r="H26" s="9">
        <v>14532961</v>
      </c>
      <c r="I26" s="9">
        <v>15059119</v>
      </c>
    </row>
    <row r="27" spans="1:9" s="2" customFormat="1" ht="12.75">
      <c r="A27" s="2" t="str">
        <f>"3.040 Supplies and Materials"</f>
        <v>3.040 Supplies and Materials</v>
      </c>
      <c r="B27" s="9">
        <v>1144749</v>
      </c>
      <c r="C27" s="9">
        <v>1178017</v>
      </c>
      <c r="D27" s="9">
        <v>1317299</v>
      </c>
      <c r="E27" s="9">
        <v>1858736</v>
      </c>
      <c r="F27" s="9">
        <v>1918085</v>
      </c>
      <c r="G27" s="9">
        <v>2086041</v>
      </c>
      <c r="H27" s="9">
        <v>2141262</v>
      </c>
      <c r="I27" s="9">
        <v>2197998</v>
      </c>
    </row>
    <row r="28" spans="1:9" s="2" customFormat="1" ht="12.75">
      <c r="A28" s="2" t="str">
        <f>"3.050 Capital Outlay"</f>
        <v>3.050 Capital Outlay</v>
      </c>
      <c r="B28" s="9">
        <v>109975</v>
      </c>
      <c r="C28" s="9">
        <v>41149</v>
      </c>
      <c r="D28" s="9">
        <v>198506</v>
      </c>
      <c r="E28" s="9">
        <v>263725</v>
      </c>
      <c r="F28" s="9">
        <v>263725</v>
      </c>
      <c r="G28" s="9">
        <v>269000</v>
      </c>
      <c r="H28" s="9">
        <v>274379</v>
      </c>
      <c r="I28" s="9">
        <v>279867</v>
      </c>
    </row>
    <row r="29" spans="1:9" s="2" customFormat="1" ht="12.75">
      <c r="A29" s="2" t="str">
        <f>"4.300 Other Objects"</f>
        <v>4.300 Other Objects</v>
      </c>
      <c r="B29" s="9">
        <v>586453</v>
      </c>
      <c r="C29" s="9">
        <v>651251</v>
      </c>
      <c r="D29" s="9">
        <v>647962</v>
      </c>
      <c r="E29" s="9">
        <v>676415</v>
      </c>
      <c r="F29" s="9">
        <v>701270</v>
      </c>
      <c r="G29" s="9">
        <v>710325</v>
      </c>
      <c r="H29" s="9">
        <v>719549</v>
      </c>
      <c r="I29" s="9">
        <v>728947</v>
      </c>
    </row>
    <row r="30" spans="1:9" s="2" customFormat="1" ht="12.75">
      <c r="A30" s="2" t="str">
        <f>"4.500 Total Expenditures"</f>
        <v>4.500 Total Expenditures</v>
      </c>
      <c r="B30" s="12">
        <v>52310477</v>
      </c>
      <c r="C30" s="12">
        <v>54017080</v>
      </c>
      <c r="D30" s="12">
        <v>55064085</v>
      </c>
      <c r="E30" s="12">
        <v>58218140</v>
      </c>
      <c r="F30" s="12">
        <v>59692134</v>
      </c>
      <c r="G30" s="12">
        <v>61344214</v>
      </c>
      <c r="H30" s="12">
        <v>63401559</v>
      </c>
      <c r="I30" s="12">
        <v>65557912</v>
      </c>
    </row>
    <row r="31" spans="1:5" s="2" customFormat="1" ht="12.75">
      <c r="A31" s="2" t="str">
        <f>"5.010 Operational Transfers - Out"</f>
        <v>5.010 Operational Transfers - Out</v>
      </c>
      <c r="B31" s="9">
        <v>181973</v>
      </c>
      <c r="C31" s="9">
        <v>97890</v>
      </c>
      <c r="D31" s="9">
        <v>2226400</v>
      </c>
      <c r="E31" s="9">
        <v>5992827</v>
      </c>
    </row>
    <row r="32" spans="1:9" s="2" customFormat="1" ht="12.75">
      <c r="A32" s="2" t="str">
        <f>"5.020 Advances - Out"</f>
        <v>5.020 Advances - Out</v>
      </c>
      <c r="B32" s="9">
        <v>332010</v>
      </c>
      <c r="C32" s="9">
        <v>227500</v>
      </c>
      <c r="D32" s="9">
        <v>185000</v>
      </c>
      <c r="E32" s="9">
        <v>135305</v>
      </c>
      <c r="F32" s="9">
        <v>75000</v>
      </c>
      <c r="G32" s="9">
        <v>75000</v>
      </c>
      <c r="H32" s="9">
        <v>75000</v>
      </c>
      <c r="I32" s="9">
        <v>75000</v>
      </c>
    </row>
    <row r="33" spans="1:9" s="2" customFormat="1" ht="12.75">
      <c r="A33" s="2" t="str">
        <f>"5.030 All Other Financing Uses"</f>
        <v>5.030 All Other Financing Uses</v>
      </c>
      <c r="E33" s="9">
        <v>1196855</v>
      </c>
      <c r="F33" s="9">
        <v>500000</v>
      </c>
      <c r="G33" s="9">
        <v>200000</v>
      </c>
      <c r="H33" s="9">
        <v>200000</v>
      </c>
      <c r="I33" s="9">
        <v>200000</v>
      </c>
    </row>
    <row r="34" spans="1:9" s="2" customFormat="1" ht="12.75">
      <c r="A34" s="2" t="str">
        <f>"5.040 Total Other Financing Uses"</f>
        <v>5.040 Total Other Financing Uses</v>
      </c>
      <c r="B34" s="12">
        <v>513983</v>
      </c>
      <c r="C34" s="12">
        <v>325390</v>
      </c>
      <c r="D34" s="12">
        <v>2411400</v>
      </c>
      <c r="E34" s="12">
        <v>7324987</v>
      </c>
      <c r="F34" s="12">
        <v>575000</v>
      </c>
      <c r="G34" s="12">
        <v>275000</v>
      </c>
      <c r="H34" s="12">
        <v>275000</v>
      </c>
      <c r="I34" s="12">
        <v>275000</v>
      </c>
    </row>
    <row r="35" spans="1:9" s="2" customFormat="1" ht="13.5" thickBot="1">
      <c r="A35" s="2" t="str">
        <f>"5.050 Total Expenditure and Other Financing Uses"</f>
        <v>5.050 Total Expenditure and Other Financing Uses</v>
      </c>
      <c r="B35" s="13">
        <v>52824460</v>
      </c>
      <c r="C35" s="13">
        <v>54342470</v>
      </c>
      <c r="D35" s="13">
        <v>57475485</v>
      </c>
      <c r="E35" s="13">
        <v>65543127</v>
      </c>
      <c r="F35" s="13">
        <v>60267134</v>
      </c>
      <c r="G35" s="13">
        <v>61619214</v>
      </c>
      <c r="H35" s="13">
        <v>63676559</v>
      </c>
      <c r="I35" s="13">
        <v>65832912</v>
      </c>
    </row>
    <row r="36" spans="1:9" s="2" customFormat="1" ht="14.25" thickBot="1" thickTop="1">
      <c r="A36" s="2" t="str">
        <f>"6.010 Excess Rev &amp; Oth Financing Sources over(under) Exp &amp; Oth Financing"</f>
        <v>6.010 Excess Rev &amp; Oth Financing Sources over(under) Exp &amp; Oth Financing</v>
      </c>
      <c r="B36" s="13">
        <v>3205357</v>
      </c>
      <c r="C36" s="13">
        <v>4276416</v>
      </c>
      <c r="D36" s="13">
        <v>2560519</v>
      </c>
      <c r="E36" s="13">
        <v>-2100767</v>
      </c>
      <c r="F36" s="13">
        <v>5052982</v>
      </c>
      <c r="G36" s="13">
        <v>3630597</v>
      </c>
      <c r="H36" s="13">
        <v>1573252</v>
      </c>
      <c r="I36" s="13">
        <v>-583101</v>
      </c>
    </row>
    <row r="37" spans="1:9" s="2" customFormat="1" ht="13.5" thickTop="1">
      <c r="A37" s="2" t="str">
        <f>"7.010 Beginning Cash Balance"</f>
        <v>7.010 Beginning Cash Balance</v>
      </c>
      <c r="B37" s="9">
        <v>1725881</v>
      </c>
      <c r="C37" s="9">
        <v>4931238</v>
      </c>
      <c r="D37" s="9">
        <v>9207654</v>
      </c>
      <c r="E37" s="9">
        <v>11768173</v>
      </c>
      <c r="F37" s="9">
        <v>9667406</v>
      </c>
      <c r="G37" s="9">
        <v>14720388</v>
      </c>
      <c r="H37" s="9">
        <v>18350985</v>
      </c>
      <c r="I37" s="9">
        <v>19924237</v>
      </c>
    </row>
    <row r="38" spans="1:9" s="2" customFormat="1" ht="12.75">
      <c r="A38" s="2" t="str">
        <f>"7.020 Ending Cash Balance"</f>
        <v>7.020 Ending Cash Balance</v>
      </c>
      <c r="B38" s="9">
        <v>4931238</v>
      </c>
      <c r="C38" s="9">
        <v>9207654</v>
      </c>
      <c r="D38" s="9">
        <v>11768173</v>
      </c>
      <c r="E38" s="9">
        <v>9667406</v>
      </c>
      <c r="F38" s="9">
        <v>14720388</v>
      </c>
      <c r="G38" s="9">
        <v>18350985</v>
      </c>
      <c r="H38" s="9">
        <v>19924237</v>
      </c>
      <c r="I38" s="9">
        <v>19341136</v>
      </c>
    </row>
    <row r="39" spans="1:9" s="2" customFormat="1" ht="12.75">
      <c r="A39" s="2" t="str">
        <f>"8.010 Outstanding Encumbrances"</f>
        <v>8.010 Outstanding Encumbrances</v>
      </c>
      <c r="B39" s="9">
        <v>557121</v>
      </c>
      <c r="C39" s="9">
        <v>798832</v>
      </c>
      <c r="D39" s="9">
        <v>762843</v>
      </c>
      <c r="E39" s="9">
        <v>775000</v>
      </c>
      <c r="F39" s="9">
        <v>775000</v>
      </c>
      <c r="G39" s="9">
        <v>775000</v>
      </c>
      <c r="H39" s="9">
        <v>775000</v>
      </c>
      <c r="I39" s="9">
        <v>775000</v>
      </c>
    </row>
    <row r="40" spans="1:4" s="2" customFormat="1" ht="12.75">
      <c r="A40" s="2" t="str">
        <f>"9.030 Budget Reserve"</f>
        <v>9.030 Budget Reserve</v>
      </c>
      <c r="B40" s="9">
        <v>1100000</v>
      </c>
      <c r="C40" s="9">
        <v>1100000</v>
      </c>
      <c r="D40" s="9">
        <v>1100000</v>
      </c>
    </row>
    <row r="41" spans="1:4" s="2" customFormat="1" ht="12.75">
      <c r="A41" s="2" t="str">
        <f>"9.080 Total Reservations"</f>
        <v>9.080 Total Reservations</v>
      </c>
      <c r="B41" s="12">
        <v>1100000</v>
      </c>
      <c r="C41" s="12">
        <v>1100000</v>
      </c>
      <c r="D41" s="12">
        <v>1100000</v>
      </c>
    </row>
    <row r="42" spans="1:9" s="2" customFormat="1" ht="12.75">
      <c r="A42" s="2" t="str">
        <f>"10.010 Fund Balance June 30 for Certification of Appropriations"</f>
        <v>10.010 Fund Balance June 30 for Certification of Appropriations</v>
      </c>
      <c r="B42" s="9">
        <v>3274117</v>
      </c>
      <c r="C42" s="9">
        <v>7308822</v>
      </c>
      <c r="D42" s="9">
        <v>9905330</v>
      </c>
      <c r="E42" s="9">
        <v>8892406</v>
      </c>
      <c r="F42" s="9">
        <v>13945388</v>
      </c>
      <c r="G42" s="9">
        <v>17575985</v>
      </c>
      <c r="H42" s="9">
        <v>19149237</v>
      </c>
      <c r="I42" s="9">
        <v>18566136</v>
      </c>
    </row>
    <row r="43" spans="1:9" s="2" customFormat="1" ht="12.75">
      <c r="A43" s="2" t="str">
        <f>"12.010 Fund Bal June 30 for Cert of Contracts,Salary Sched,Oth Obligations"</f>
        <v>12.010 Fund Bal June 30 for Cert of Contracts,Salary Sched,Oth Obligations</v>
      </c>
      <c r="B43" s="9">
        <v>3274117</v>
      </c>
      <c r="C43" s="9">
        <v>7308822</v>
      </c>
      <c r="D43" s="9">
        <v>9905330</v>
      </c>
      <c r="E43" s="9">
        <v>8892406</v>
      </c>
      <c r="F43" s="9">
        <v>13945388</v>
      </c>
      <c r="G43" s="9">
        <v>17575985</v>
      </c>
      <c r="H43" s="9">
        <v>19149237</v>
      </c>
      <c r="I43" s="9">
        <v>18566136</v>
      </c>
    </row>
    <row r="44" spans="1:9" s="2" customFormat="1" ht="13.5" thickBot="1">
      <c r="A44" s="2" t="str">
        <f>"15.010 Unreserved Fund Balance June 30"</f>
        <v>15.010 Unreserved Fund Balance June 30</v>
      </c>
      <c r="B44" s="13">
        <v>3274117</v>
      </c>
      <c r="C44" s="13">
        <v>7308822</v>
      </c>
      <c r="D44" s="13">
        <v>9905330</v>
      </c>
      <c r="E44" s="13">
        <v>8892406</v>
      </c>
      <c r="F44" s="13">
        <v>13945388</v>
      </c>
      <c r="G44" s="13">
        <v>17575985</v>
      </c>
      <c r="H44" s="13">
        <v>19149237</v>
      </c>
      <c r="I44" s="13">
        <v>18566136</v>
      </c>
    </row>
    <row r="45" s="2" customFormat="1" ht="13.5" thickTop="1">
      <c r="A45" s="4"/>
    </row>
    <row r="46" s="2" customFormat="1" ht="13.5" thickBot="1">
      <c r="A46" s="4"/>
    </row>
    <row r="47" s="2" customFormat="1" ht="13.5" thickBot="1">
      <c r="A47" s="6" t="s">
        <v>4</v>
      </c>
    </row>
    <row r="48" s="2" customFormat="1" ht="12.75">
      <c r="A48" s="4"/>
    </row>
    <row r="49" s="2" customFormat="1" ht="12.75">
      <c r="A49" s="4"/>
    </row>
    <row r="50" spans="1:8" s="2" customFormat="1" ht="12.75">
      <c r="A50" s="19" t="str">
        <f>"Reynoldsburg City School District"</f>
        <v>Reynoldsburg City School District</v>
      </c>
      <c r="B50" s="19"/>
      <c r="C50" s="19"/>
      <c r="D50" s="19"/>
      <c r="E50" s="19"/>
      <c r="F50" s="19"/>
      <c r="G50" s="19"/>
      <c r="H50" s="19"/>
    </row>
    <row r="51" spans="1:8" s="2" customFormat="1" ht="12.75">
      <c r="A51" s="19" t="str">
        <f>"Five-Year Forecast Assumptions and"</f>
        <v>Five-Year Forecast Assumptions and</v>
      </c>
      <c r="B51" s="19"/>
      <c r="C51" s="19"/>
      <c r="D51" s="19"/>
      <c r="E51" s="19"/>
      <c r="F51" s="19"/>
      <c r="G51" s="19"/>
      <c r="H51" s="19"/>
    </row>
    <row r="52" spans="1:8" s="2" customFormat="1" ht="12.75">
      <c r="A52" s="19" t="str">
        <f>"Notes"</f>
        <v>Notes</v>
      </c>
      <c r="B52" s="19"/>
      <c r="C52" s="19"/>
      <c r="D52" s="19"/>
      <c r="E52" s="19"/>
      <c r="F52" s="19"/>
      <c r="G52" s="19"/>
      <c r="H52" s="19"/>
    </row>
    <row r="53" spans="1:8" s="2" customFormat="1" ht="12.75">
      <c r="A53" s="19" t="str">
        <f>"For the Period July 1, 2010 Through June"</f>
        <v>For the Period July 1, 2010 Through June</v>
      </c>
      <c r="B53" s="19"/>
      <c r="C53" s="19"/>
      <c r="D53" s="19"/>
      <c r="E53" s="19"/>
      <c r="F53" s="19"/>
      <c r="G53" s="19"/>
      <c r="H53" s="19"/>
    </row>
    <row r="54" spans="1:8" s="2" customFormat="1" ht="12.75">
      <c r="A54" s="19" t="str">
        <f>"30, 2018"</f>
        <v>30, 2018</v>
      </c>
      <c r="B54" s="19"/>
      <c r="C54" s="19"/>
      <c r="D54" s="19"/>
      <c r="E54" s="19"/>
      <c r="F54" s="19"/>
      <c r="G54" s="19"/>
      <c r="H54" s="19"/>
    </row>
    <row r="55" spans="1:8" s="2" customFormat="1" ht="12.75">
      <c r="A55" s="19" t="str">
        <f>"May 20, 2014"</f>
        <v>May 20, 2014</v>
      </c>
      <c r="B55" s="19"/>
      <c r="C55" s="19"/>
      <c r="D55" s="19"/>
      <c r="E55" s="19"/>
      <c r="F55" s="19"/>
      <c r="G55" s="19"/>
      <c r="H55" s="19"/>
    </row>
    <row r="56" s="2" customFormat="1" ht="12.75"/>
    <row r="57" s="2" customFormat="1" ht="12.75">
      <c r="A57" s="4"/>
    </row>
    <row r="58" spans="1:8" s="2" customFormat="1" ht="12.75">
      <c r="A58" s="19" t="str">
        <f>"Overview"</f>
        <v>Overview</v>
      </c>
      <c r="B58" s="19"/>
      <c r="C58" s="19"/>
      <c r="D58" s="19"/>
      <c r="E58" s="19"/>
      <c r="F58" s="19"/>
      <c r="G58" s="19"/>
      <c r="H58" s="19"/>
    </row>
    <row r="59" s="2" customFormat="1" ht="12.75"/>
    <row r="60" s="2" customFormat="1" ht="12.75">
      <c r="A60" s="4"/>
    </row>
    <row r="61" spans="1:8" s="2" customFormat="1" ht="12.75">
      <c r="A61" s="19" t="str">
        <f>"Reynoldsburg is a high-performing district focused on student"</f>
        <v>Reynoldsburg is a high-performing district focused on student</v>
      </c>
      <c r="B61" s="19"/>
      <c r="C61" s="19"/>
      <c r="D61" s="19"/>
      <c r="E61" s="19"/>
      <c r="F61" s="19"/>
      <c r="G61" s="19"/>
      <c r="H61" s="19"/>
    </row>
    <row r="62" spans="1:8" s="2" customFormat="1" ht="12.75">
      <c r="A62" s="19" t="str">
        <f>"achievement, safety and fiscal responsibility. The District"</f>
        <v>achievement, safety and fiscal responsibility. The District</v>
      </c>
      <c r="B62" s="19"/>
      <c r="C62" s="19"/>
      <c r="D62" s="19"/>
      <c r="E62" s="19"/>
      <c r="F62" s="19"/>
      <c r="G62" s="19"/>
      <c r="H62" s="19"/>
    </row>
    <row r="63" spans="1:8" s="2" customFormat="1" ht="12.75">
      <c r="A63" s="19" t="str">
        <f>"continuously strives to provide innovative and cost-effective"</f>
        <v>continuously strives to provide innovative and cost-effective</v>
      </c>
      <c r="B63" s="19"/>
      <c r="C63" s="19"/>
      <c r="D63" s="19"/>
      <c r="E63" s="19"/>
      <c r="F63" s="19"/>
      <c r="G63" s="19"/>
      <c r="H63" s="19"/>
    </row>
    <row r="64" spans="1:8" s="2" customFormat="1" ht="12.75">
      <c r="A64" s="19" t="str">
        <f>"educational opportunities for all students."</f>
        <v>educational opportunities for all students.</v>
      </c>
      <c r="B64" s="19"/>
      <c r="C64" s="19"/>
      <c r="D64" s="19"/>
      <c r="E64" s="19"/>
      <c r="F64" s="19"/>
      <c r="G64" s="19"/>
      <c r="H64" s="19"/>
    </row>
    <row r="65" s="2" customFormat="1" ht="12.75"/>
    <row r="66" s="2" customFormat="1" ht="12.75">
      <c r="A66" s="4"/>
    </row>
    <row r="67" spans="1:8" s="2" customFormat="1" ht="12.75">
      <c r="A67" s="19" t="str">
        <f>"The Reynoldsburg Board of Education values financial stability as"</f>
        <v>The Reynoldsburg Board of Education values financial stability as</v>
      </c>
      <c r="B67" s="19"/>
      <c r="C67" s="19"/>
      <c r="D67" s="19"/>
      <c r="E67" s="19"/>
      <c r="F67" s="19"/>
      <c r="G67" s="19"/>
      <c r="H67" s="19"/>
    </row>
    <row r="68" spans="1:8" s="2" customFormat="1" ht="12.75">
      <c r="A68" s="19" t="str">
        <f>"a means of protecting and enhancing the high quality education"</f>
        <v>a means of protecting and enhancing the high quality education</v>
      </c>
      <c r="B68" s="19"/>
      <c r="C68" s="19"/>
      <c r="D68" s="19"/>
      <c r="E68" s="19"/>
      <c r="F68" s="19"/>
      <c r="G68" s="19"/>
      <c r="H68" s="19"/>
    </row>
    <row r="69" spans="1:8" s="2" customFormat="1" ht="12.75">
      <c r="A69" s="19" t="str">
        <f>"opportunities that are important to the Reynoldsburg community"</f>
        <v>opportunities that are important to the Reynoldsburg community</v>
      </c>
      <c r="B69" s="19"/>
      <c r="C69" s="19"/>
      <c r="D69" s="19"/>
      <c r="E69" s="19"/>
      <c r="F69" s="19"/>
      <c r="G69" s="19"/>
      <c r="H69" s="19"/>
    </row>
    <row r="70" spans="1:8" s="2" customFormat="1" ht="12.75">
      <c r="A70" s="19" t="str">
        <f>"and to the success of our children. The district has achieved a"</f>
        <v>and to the success of our children. The district has achieved a</v>
      </c>
      <c r="B70" s="19"/>
      <c r="C70" s="19"/>
      <c r="D70" s="19"/>
      <c r="E70" s="19"/>
      <c r="F70" s="19"/>
      <c r="G70" s="19"/>
      <c r="H70" s="19"/>
    </row>
    <row r="71" spans="1:8" s="2" customFormat="1" ht="12.75">
      <c r="A71" s="19" t="str">
        <f>"stable financial outlook, as evidenced in this forecast, by"</f>
        <v>stable financial outlook, as evidenced in this forecast, by</v>
      </c>
      <c r="B71" s="19"/>
      <c r="C71" s="19"/>
      <c r="D71" s="19"/>
      <c r="E71" s="19"/>
      <c r="F71" s="19"/>
      <c r="G71" s="19"/>
      <c r="H71" s="19"/>
    </row>
    <row r="72" spans="1:8" s="2" customFormat="1" ht="12.75">
      <c r="A72" s="19" t="str">
        <f>"employing three key strategies:"</f>
        <v>employing three key strategies:</v>
      </c>
      <c r="B72" s="19"/>
      <c r="C72" s="19"/>
      <c r="D72" s="19"/>
      <c r="E72" s="19"/>
      <c r="F72" s="19"/>
      <c r="G72" s="19"/>
      <c r="H72" s="19"/>
    </row>
    <row r="73" s="2" customFormat="1" ht="12.75"/>
    <row r="74" s="2" customFormat="1" ht="12.75">
      <c r="A74" s="4"/>
    </row>
    <row r="75" spans="1:8" s="2" customFormat="1" ht="12.75">
      <c r="A75" s="19" t="str">
        <f>"1.Controlled expenditures. Reynoldsburg is known for"</f>
        <v>1.Controlled expenditures. Reynoldsburg is known for</v>
      </c>
      <c r="B75" s="19"/>
      <c r="C75" s="19"/>
      <c r="D75" s="19"/>
      <c r="E75" s="19"/>
      <c r="F75" s="19"/>
      <c r="G75" s="19"/>
      <c r="H75" s="19"/>
    </row>
    <row r="76" spans="1:8" s="2" customFormat="1" ht="12.75">
      <c r="A76" s="19" t="str">
        <f>"innovation, however the district has adopted an approach"</f>
        <v>innovation, however the district has adopted an approach</v>
      </c>
      <c r="B76" s="19"/>
      <c r="C76" s="19"/>
      <c r="D76" s="19"/>
      <c r="E76" s="19"/>
      <c r="F76" s="19"/>
      <c r="G76" s="19"/>
      <c r="H76" s="19"/>
    </row>
    <row r="77" spans="1:8" s="2" customFormat="1" ht="12.75">
      <c r="A77" s="19" t="str">
        <f>"that prioritizes promising new approaches amongst existing"</f>
        <v>that prioritizes promising new approaches amongst existing</v>
      </c>
      <c r="B77" s="19"/>
      <c r="C77" s="19"/>
      <c r="D77" s="19"/>
      <c r="E77" s="19"/>
      <c r="F77" s="19"/>
      <c r="G77" s="19"/>
      <c r="H77" s="19"/>
    </row>
    <row r="78" spans="1:8" s="2" customFormat="1" ht="12.75">
      <c r="A78" s="19" t="str">
        <f>"practices so that new expenditures are offset by the"</f>
        <v>practices so that new expenditures are offset by the</v>
      </c>
      <c r="B78" s="19"/>
      <c r="C78" s="19"/>
      <c r="D78" s="19"/>
      <c r="E78" s="19"/>
      <c r="F78" s="19"/>
      <c r="G78" s="19"/>
      <c r="H78" s="19"/>
    </row>
    <row r="79" spans="1:8" s="2" customFormat="1" ht="12.75">
      <c r="A79" s="19" t="str">
        <f>"elimination of lower-priority expenditures."</f>
        <v>elimination of lower-priority expenditures.</v>
      </c>
      <c r="B79" s="19"/>
      <c r="C79" s="19"/>
      <c r="D79" s="19"/>
      <c r="E79" s="19"/>
      <c r="F79" s="19"/>
      <c r="G79" s="19"/>
      <c r="H79" s="19"/>
    </row>
    <row r="80" spans="1:8" s="2" customFormat="1" ht="12.75">
      <c r="A80" s="19" t="str">
        <f>"2.Personnel. Reynoldsburg?s two employee associations have"</f>
        <v>2.Personnel. Reynoldsburg?s two employee associations have</v>
      </c>
      <c r="B80" s="19"/>
      <c r="C80" s="19"/>
      <c r="D80" s="19"/>
      <c r="E80" s="19"/>
      <c r="F80" s="19"/>
      <c r="G80" s="19"/>
      <c r="H80" s="19"/>
    </row>
    <row r="81" spans="1:8" s="2" customFormat="1" ht="12.75">
      <c r="A81" s="19" t="str">
        <f>"recognized that reasonable contracts are necessary to"</f>
        <v>recognized that reasonable contracts are necessary to</v>
      </c>
      <c r="B81" s="19"/>
      <c r="C81" s="19"/>
      <c r="D81" s="19"/>
      <c r="E81" s="19"/>
      <c r="F81" s="19"/>
      <c r="G81" s="19"/>
      <c r="H81" s="19"/>
    </row>
    <row r="82" spans="1:8" s="2" customFormat="1" ht="12.75">
      <c r="A82" s="19" t="str">
        <f>"protect the fiscal health and stability of the district."</f>
        <v>protect the fiscal health and stability of the district.</v>
      </c>
      <c r="B82" s="19"/>
      <c r="C82" s="19"/>
      <c r="D82" s="19"/>
      <c r="E82" s="19"/>
      <c r="F82" s="19"/>
      <c r="G82" s="19"/>
      <c r="H82" s="19"/>
    </row>
    <row r="83" spans="1:8" s="2" customFormat="1" ht="12.75">
      <c r="A83" s="19" t="str">
        <f>"3.Partnerships. Opportunities for students have been created"</f>
        <v>3.Partnerships. Opportunities for students have been created</v>
      </c>
      <c r="B83" s="19"/>
      <c r="C83" s="19"/>
      <c r="D83" s="19"/>
      <c r="E83" s="19"/>
      <c r="F83" s="19"/>
      <c r="G83" s="19"/>
      <c r="H83" s="19"/>
    </row>
    <row r="84" spans="1:8" s="2" customFormat="1" ht="12.75">
      <c r="A84" s="19" t="str">
        <f>"by trading space and services when the district and"</f>
        <v>by trading space and services when the district and</v>
      </c>
      <c r="B84" s="19"/>
      <c r="C84" s="19"/>
      <c r="D84" s="19"/>
      <c r="E84" s="19"/>
      <c r="F84" s="19"/>
      <c r="G84" s="19"/>
      <c r="H84" s="19"/>
    </row>
    <row r="85" spans="1:8" s="2" customFormat="1" ht="12.75">
      <c r="A85" s="19" t="str">
        <f>"community organizations have overlapping missions."</f>
        <v>community organizations have overlapping missions.</v>
      </c>
      <c r="B85" s="19"/>
      <c r="C85" s="19"/>
      <c r="D85" s="19"/>
      <c r="E85" s="19"/>
      <c r="F85" s="19"/>
      <c r="G85" s="19"/>
      <c r="H85" s="19"/>
    </row>
    <row r="86" s="2" customFormat="1" ht="12.75"/>
    <row r="87" s="2" customFormat="1" ht="12.75">
      <c r="A87" s="4"/>
    </row>
    <row r="88" spans="1:8" s="2" customFormat="1" ht="12.75">
      <c r="A88" s="19" t="str">
        <f>"Reynoldsburg students have more educational opportunities and"</f>
        <v>Reynoldsburg students have more educational opportunities and</v>
      </c>
      <c r="B88" s="19"/>
      <c r="C88" s="19"/>
      <c r="D88" s="19"/>
      <c r="E88" s="19"/>
      <c r="F88" s="19"/>
      <c r="G88" s="19"/>
      <c r="H88" s="19"/>
    </row>
    <row r="89" spans="1:8" s="2" customFormat="1" ht="12.75">
      <c r="A89" s="19" t="str">
        <f>"are achieving at higher levels than ever before. That is made"</f>
        <v>are achieving at higher levels than ever before. That is made</v>
      </c>
      <c r="B89" s="19"/>
      <c r="C89" s="19"/>
      <c r="D89" s="19"/>
      <c r="E89" s="19"/>
      <c r="F89" s="19"/>
      <c r="G89" s="19"/>
      <c r="H89" s="19"/>
    </row>
    <row r="90" spans="1:8" s="2" customFormat="1" ht="12.75">
      <c r="A90" s="19" t="str">
        <f>"possible by careful prioritization of spending, strategic deployment"</f>
        <v>possible by careful prioritization of spending, strategic deployment</v>
      </c>
      <c r="B90" s="19"/>
      <c r="C90" s="19"/>
      <c r="D90" s="19"/>
      <c r="E90" s="19"/>
      <c r="F90" s="19"/>
      <c r="G90" s="19"/>
      <c r="H90" s="19"/>
    </row>
    <row r="91" spans="1:8" s="2" customFormat="1" ht="12.75">
      <c r="A91" s="19" t="str">
        <f>"of resources and creative collaborations with community partners."</f>
        <v>of resources and creative collaborations with community partners.</v>
      </c>
      <c r="B91" s="19"/>
      <c r="C91" s="19"/>
      <c r="D91" s="19"/>
      <c r="E91" s="19"/>
      <c r="F91" s="19"/>
      <c r="G91" s="19"/>
      <c r="H91" s="19"/>
    </row>
    <row r="92" spans="1:8" s="2" customFormat="1" ht="12.75">
      <c r="A92" s="19" t="str">
        <f>"To continue that trajectory, the Board has adopted a long-term"</f>
        <v>To continue that trajectory, the Board has adopted a long-term</v>
      </c>
      <c r="B92" s="19"/>
      <c r="C92" s="19"/>
      <c r="D92" s="19"/>
      <c r="E92" s="19"/>
      <c r="F92" s="19"/>
      <c r="G92" s="19"/>
      <c r="H92" s="19"/>
    </row>
    <row r="93" spans="1:8" s="2" customFormat="1" ht="12.75">
      <c r="A93" s="19" t="str">
        <f>"financial goal of maintaining a positive cash balance through 2020."</f>
        <v>financial goal of maintaining a positive cash balance through 2020.</v>
      </c>
      <c r="B93" s="19"/>
      <c r="C93" s="19"/>
      <c r="D93" s="19"/>
      <c r="E93" s="19"/>
      <c r="F93" s="19"/>
      <c r="G93" s="19"/>
      <c r="H93" s="19"/>
    </row>
    <row r="94" s="2" customFormat="1" ht="12.75"/>
    <row r="95" s="2" customFormat="1" ht="12.75">
      <c r="A95" s="4"/>
    </row>
    <row r="96" spans="1:8" s="2" customFormat="1" ht="12.75">
      <c r="A96" s="19" t="str">
        <f>"What is a Forecast?"</f>
        <v>What is a Forecast?</v>
      </c>
      <c r="B96" s="19"/>
      <c r="C96" s="19"/>
      <c r="D96" s="19"/>
      <c r="E96" s="19"/>
      <c r="F96" s="19"/>
      <c r="G96" s="19"/>
      <c r="H96" s="19"/>
    </row>
    <row r="97" s="2" customFormat="1" ht="12.75"/>
    <row r="98" s="2" customFormat="1" ht="12.75">
      <c r="A98" s="4"/>
    </row>
    <row r="99" spans="1:8" s="2" customFormat="1" ht="12.75">
      <c r="A99" s="19" t="str">
        <f>"The five-year forecast is a planning tool that uses currently"</f>
        <v>The five-year forecast is a planning tool that uses currently</v>
      </c>
      <c r="B99" s="19"/>
      <c r="C99" s="19"/>
      <c r="D99" s="19"/>
      <c r="E99" s="19"/>
      <c r="F99" s="19"/>
      <c r="G99" s="19"/>
      <c r="H99" s="19"/>
    </row>
    <row r="100" spans="1:8" s="2" customFormat="1" ht="12.75">
      <c r="A100" s="19" t="str">
        <f>"available data and reasonable assumptions to forecast what the"</f>
        <v>available data and reasonable assumptions to forecast what the</v>
      </c>
      <c r="B100" s="19"/>
      <c r="C100" s="19"/>
      <c r="D100" s="19"/>
      <c r="E100" s="19"/>
      <c r="F100" s="19"/>
      <c r="G100" s="19"/>
      <c r="H100" s="19"/>
    </row>
    <row r="101" spans="1:8" s="2" customFormat="1" ht="12.75">
      <c r="A101" s="19" t="str">
        <f>"financial future of the District might look like. Forecasts, by their"</f>
        <v>financial future of the District might look like. Forecasts, by their</v>
      </c>
      <c r="B101" s="19"/>
      <c r="C101" s="19"/>
      <c r="D101" s="19"/>
      <c r="E101" s="19"/>
      <c r="F101" s="19"/>
      <c r="G101" s="19"/>
      <c r="H101" s="19"/>
    </row>
    <row r="102" spans="1:8" s="2" customFormat="1" ht="12.75">
      <c r="A102" s="19" t="str">
        <f>"nature, are not designed to be precise, but are rather a tool to"</f>
        <v>nature, are not designed to be precise, but are rather a tool to</v>
      </c>
      <c r="B102" s="19"/>
      <c r="C102" s="19"/>
      <c r="D102" s="19"/>
      <c r="E102" s="19"/>
      <c r="F102" s="19"/>
      <c r="G102" s="19"/>
      <c r="H102" s="19"/>
    </row>
    <row r="103" spans="1:8" s="2" customFormat="1" ht="12.75">
      <c r="A103" s="19" t="str">
        <f>"provide information to assist the District in its planning."</f>
        <v>provide information to assist the District in its planning.</v>
      </c>
      <c r="B103" s="19"/>
      <c r="C103" s="19"/>
      <c r="D103" s="19"/>
      <c r="E103" s="19"/>
      <c r="F103" s="19"/>
      <c r="G103" s="19"/>
      <c r="H103" s="19"/>
    </row>
    <row r="104" s="2" customFormat="1" ht="12.75"/>
    <row r="105" s="2" customFormat="1" ht="12.75">
      <c r="A105" s="4"/>
    </row>
    <row r="106" spans="1:8" s="2" customFormat="1" ht="12.75">
      <c r="A106" s="19" t="str">
        <f>"The five-year forecast is a working document that changes when"</f>
        <v>The five-year forecast is a working document that changes when</v>
      </c>
      <c r="B106" s="19"/>
      <c r="C106" s="19"/>
      <c r="D106" s="19"/>
      <c r="E106" s="19"/>
      <c r="F106" s="19"/>
      <c r="G106" s="19"/>
      <c r="H106" s="19"/>
    </row>
    <row r="107" spans="1:8" s="2" customFormat="1" ht="12.75">
      <c r="A107" s="19" t="str">
        <f>"more up-to-date information becomes available or when any of the"</f>
        <v>more up-to-date information becomes available or when any of the</v>
      </c>
      <c r="B107" s="19"/>
      <c r="C107" s="19"/>
      <c r="D107" s="19"/>
      <c r="E107" s="19"/>
      <c r="F107" s="19"/>
      <c r="G107" s="19"/>
      <c r="H107" s="19"/>
    </row>
    <row r="108" spans="1:8" s="2" customFormat="1" ht="12.75">
      <c r="A108" s="19" t="str">
        <f>"underlying assumptions significantly change. The District monitors"</f>
        <v>underlying assumptions significantly change. The District monitors</v>
      </c>
      <c r="B108" s="19"/>
      <c r="C108" s="19"/>
      <c r="D108" s="19"/>
      <c r="E108" s="19"/>
      <c r="F108" s="19"/>
      <c r="G108" s="19"/>
      <c r="H108" s="19"/>
    </row>
    <row r="109" spans="1:8" s="2" customFormat="1" ht="12.75">
      <c r="A109" s="19" t="str">
        <f>"actual receipts and expenditures against the current year forecast"</f>
        <v>actual receipts and expenditures against the current year forecast</v>
      </c>
      <c r="B109" s="19"/>
      <c r="C109" s="19"/>
      <c r="D109" s="19"/>
      <c r="E109" s="19"/>
      <c r="F109" s="19"/>
      <c r="G109" s="19"/>
      <c r="H109" s="19"/>
    </row>
    <row r="110" spans="1:8" s="2" customFormat="1" ht="12.75">
      <c r="A110" s="19" t="str">
        <f>"on a monthly basis and updates the forecast when appropriate."</f>
        <v>on a monthly basis and updates the forecast when appropriate.</v>
      </c>
      <c r="B110" s="19"/>
      <c r="C110" s="19"/>
      <c r="D110" s="19"/>
      <c r="E110" s="19"/>
      <c r="F110" s="19"/>
      <c r="G110" s="19"/>
      <c r="H110" s="19"/>
    </row>
    <row r="111" s="2" customFormat="1" ht="12.75"/>
    <row r="112" s="2" customFormat="1" ht="12.75">
      <c r="A112" s="4"/>
    </row>
    <row r="113" spans="1:8" s="2" customFormat="1" ht="12.75">
      <c r="A113" s="19" t="str">
        <f>"The following provides more detailed information on the"</f>
        <v>The following provides more detailed information on the</v>
      </c>
      <c r="B113" s="19"/>
      <c r="C113" s="19"/>
      <c r="D113" s="19"/>
      <c r="E113" s="19"/>
      <c r="F113" s="19"/>
      <c r="G113" s="19"/>
      <c r="H113" s="19"/>
    </row>
    <row r="114" spans="1:8" s="2" customFormat="1" ht="12.75">
      <c r="A114" s="19" t="str">
        <f>"assumptions used in this forecast."</f>
        <v>assumptions used in this forecast.</v>
      </c>
      <c r="B114" s="19"/>
      <c r="C114" s="19"/>
      <c r="D114" s="19"/>
      <c r="E114" s="19"/>
      <c r="F114" s="19"/>
      <c r="G114" s="19"/>
      <c r="H114" s="19"/>
    </row>
    <row r="115" spans="1:8" s="2" customFormat="1" ht="12.75">
      <c r="A115" s="19" t="str">
        <f>"----Revenues----"</f>
        <v>----Revenues----</v>
      </c>
      <c r="B115" s="19"/>
      <c r="C115" s="19"/>
      <c r="D115" s="19"/>
      <c r="E115" s="19"/>
      <c r="F115" s="19"/>
      <c r="G115" s="19"/>
      <c r="H115" s="19"/>
    </row>
    <row r="116" s="2" customFormat="1" ht="12.75"/>
    <row r="117" s="2" customFormat="1" ht="12.75">
      <c r="A117" s="4"/>
    </row>
    <row r="118" spans="1:8" s="2" customFormat="1" ht="12.75">
      <c r="A118" s="19" t="str">
        <f>"Real Estate Tax (line 1.010)"</f>
        <v>Real Estate Tax (line 1.010)</v>
      </c>
      <c r="B118" s="19"/>
      <c r="C118" s="19"/>
      <c r="D118" s="19"/>
      <c r="E118" s="19"/>
      <c r="F118" s="19"/>
      <c r="G118" s="19"/>
      <c r="H118" s="19"/>
    </row>
    <row r="119" s="2" customFormat="1" ht="12.75"/>
    <row r="120" s="2" customFormat="1" ht="12.75">
      <c r="A120" s="4"/>
    </row>
    <row r="121" spans="1:8" s="2" customFormat="1" ht="12.75">
      <c r="A121" s="19" t="str">
        <f>"FY2014 real estate taxes are forecasted based on the January 2014"</f>
        <v>FY2014 real estate taxes are forecasted based on the January 2014</v>
      </c>
      <c r="B121" s="19"/>
      <c r="C121" s="19"/>
      <c r="D121" s="19"/>
      <c r="E121" s="19"/>
      <c r="F121" s="19"/>
      <c r="G121" s="19"/>
      <c r="H121" s="19"/>
    </row>
    <row r="122" spans="1:8" s="2" customFormat="1" ht="12.75">
      <c r="A122" s="19" t="str">
        <f>"updated property values. Real estate taxes are projected to remain"</f>
        <v>updated property values. Real estate taxes are projected to remain</v>
      </c>
      <c r="B122" s="19"/>
      <c r="C122" s="19"/>
      <c r="D122" s="19"/>
      <c r="E122" s="19"/>
      <c r="F122" s="19"/>
      <c r="G122" s="19"/>
      <c r="H122" s="19"/>
    </row>
    <row r="123" spans="1:8" s="2" customFormat="1" ht="12.75">
      <c r="A123" s="19" t="str">
        <f>"flat after FY2014, except for the additional revenue estimated to be"</f>
        <v>flat after FY2014, except for the additional revenue estimated to be</v>
      </c>
      <c r="B123" s="19"/>
      <c r="C123" s="19"/>
      <c r="D123" s="19"/>
      <c r="E123" s="19"/>
      <c r="F123" s="19"/>
      <c r="G123" s="19"/>
      <c r="H123" s="19"/>
    </row>
    <row r="124" spans="1:8" s="2" customFormat="1" ht="12.75">
      <c r="A124" s="19" t="str">
        <f>"generated from the 6.9 mill incremental operating levy passed in"</f>
        <v>generated from the 6.9 mill incremental operating levy passed in</v>
      </c>
      <c r="B124" s="19"/>
      <c r="C124" s="19"/>
      <c r="D124" s="19"/>
      <c r="E124" s="19"/>
      <c r="F124" s="19"/>
      <c r="G124" s="19"/>
      <c r="H124" s="19"/>
    </row>
    <row r="125" spans="1:8" s="2" customFormat="1" ht="12.75">
      <c r="A125" s="19" t="str">
        <f>"May 2010. The levy is a continuing levy that started at 6.9 mills in"</f>
        <v>May 2010. The levy is a continuing levy that started at 6.9 mills in</v>
      </c>
      <c r="B125" s="19"/>
      <c r="C125" s="19"/>
      <c r="D125" s="19"/>
      <c r="E125" s="19"/>
      <c r="F125" s="19"/>
      <c r="G125" s="19"/>
      <c r="H125" s="19"/>
    </row>
    <row r="126" spans="1:8" s="2" customFormat="1" ht="12.75">
      <c r="A126" s="19" t="str">
        <f>"January 2011 and increased by 1 mill annually until it reached 9.9"</f>
        <v>January 2011 and increased by 1 mill annually until it reached 9.9</v>
      </c>
      <c r="B126" s="19"/>
      <c r="C126" s="19"/>
      <c r="D126" s="19"/>
      <c r="E126" s="19"/>
      <c r="F126" s="19"/>
      <c r="G126" s="19"/>
      <c r="H126" s="19"/>
    </row>
    <row r="127" spans="1:8" s="2" customFormat="1" ht="12.75">
      <c r="A127" s="19" t="str">
        <f>"mills in January 2014."</f>
        <v>mills in January 2014.</v>
      </c>
      <c r="B127" s="19"/>
      <c r="C127" s="19"/>
      <c r="D127" s="19"/>
      <c r="E127" s="19"/>
      <c r="F127" s="19"/>
      <c r="G127" s="19"/>
      <c r="H127" s="19"/>
    </row>
    <row r="128" s="2" customFormat="1" ht="12.75"/>
    <row r="129" s="2" customFormat="1" ht="12.75">
      <c r="A129" s="4"/>
    </row>
    <row r="130" spans="1:8" s="2" customFormat="1" ht="12.75">
      <c r="A130" s="19" t="str">
        <f>"The District saw a drop in real estate tax collections from FY2012"</f>
        <v>The District saw a drop in real estate tax collections from FY2012</v>
      </c>
      <c r="B130" s="19"/>
      <c r="C130" s="19"/>
      <c r="D130" s="19"/>
      <c r="E130" s="19"/>
      <c r="F130" s="19"/>
      <c r="G130" s="19"/>
      <c r="H130" s="19"/>
    </row>
    <row r="131" spans="1:8" s="2" customFormat="1" ht="12.75">
      <c r="A131" s="19" t="str">
        <f>"to FY2013 due to unusually high delinquencies. Due to this, a"</f>
        <v>to FY2013 due to unusually high delinquencies. Due to this, a</v>
      </c>
      <c r="B131" s="19"/>
      <c r="C131" s="19"/>
      <c r="D131" s="19"/>
      <c r="E131" s="19"/>
      <c r="F131" s="19"/>
      <c r="G131" s="19"/>
      <c r="H131" s="19"/>
    </row>
    <row r="132" spans="1:8" s="2" customFormat="1" ht="12.75">
      <c r="A132" s="19" t="str">
        <f>"collection rate of 99% was used for the remainder of the forecast"</f>
        <v>collection rate of 99% was used for the remainder of the forecast</v>
      </c>
      <c r="B132" s="19"/>
      <c r="C132" s="19"/>
      <c r="D132" s="19"/>
      <c r="E132" s="19"/>
      <c r="F132" s="19"/>
      <c r="G132" s="19"/>
      <c r="H132" s="19"/>
    </row>
    <row r="133" spans="1:8" s="2" customFormat="1" ht="12.75">
      <c r="A133" s="19" t="str">
        <f>"period."</f>
        <v>period.</v>
      </c>
      <c r="B133" s="19"/>
      <c r="C133" s="19"/>
      <c r="D133" s="19"/>
      <c r="E133" s="19"/>
      <c r="F133" s="19"/>
      <c r="G133" s="19"/>
      <c r="H133" s="19"/>
    </row>
    <row r="134" s="2" customFormat="1" ht="12.75"/>
    <row r="135" s="2" customFormat="1" ht="12.75">
      <c r="A135" s="4"/>
    </row>
    <row r="136" spans="1:8" s="2" customFormat="1" ht="12.75">
      <c r="A136" s="19" t="str">
        <f>"Franklin and Licking counties underwent the sexennial property"</f>
        <v>Franklin and Licking counties underwent the sexennial property</v>
      </c>
      <c r="B136" s="19"/>
      <c r="C136" s="19"/>
      <c r="D136" s="19"/>
      <c r="E136" s="19"/>
      <c r="F136" s="19"/>
      <c r="G136" s="19"/>
      <c r="H136" s="19"/>
    </row>
    <row r="137" spans="1:8" s="2" customFormat="1" ht="12.75">
      <c r="A137" s="19" t="str">
        <f>"value reappraisal in 2011, which took effect in January 2012."</f>
        <v>value reappraisal in 2011, which took effect in January 2012.</v>
      </c>
      <c r="B137" s="19"/>
      <c r="C137" s="19"/>
      <c r="D137" s="19"/>
      <c r="E137" s="19"/>
      <c r="F137" s="19"/>
      <c r="G137" s="19"/>
      <c r="H137" s="19"/>
    </row>
    <row r="138" spans="1:8" s="2" customFormat="1" ht="12.75">
      <c r="A138" s="19" t="str">
        <f>"Taxable property values in Reynoldsburg School District dropped"</f>
        <v>Taxable property values in Reynoldsburg School District dropped</v>
      </c>
      <c r="B138" s="19"/>
      <c r="C138" s="19"/>
      <c r="D138" s="19"/>
      <c r="E138" s="19"/>
      <c r="F138" s="19"/>
      <c r="G138" s="19"/>
      <c r="H138" s="19"/>
    </row>
    <row r="139" spans="1:8" s="2" customFormat="1" ht="12.75">
      <c r="A139" s="19" t="str">
        <f>"from $770M to $682M. The triennial update will occur in 2014"</f>
        <v>from $770M to $682M. The triennial update will occur in 2014</v>
      </c>
      <c r="B139" s="19"/>
      <c r="C139" s="19"/>
      <c r="D139" s="19"/>
      <c r="E139" s="19"/>
      <c r="F139" s="19"/>
      <c r="G139" s="19"/>
      <c r="H139" s="19"/>
    </row>
    <row r="140" spans="1:8" s="2" customFormat="1" ht="12.75">
      <c r="A140" s="19" t="str">
        <f>"and will affect tax collections beginning in January 2015."</f>
        <v>and will affect tax collections beginning in January 2015.</v>
      </c>
      <c r="B140" s="19"/>
      <c r="C140" s="19"/>
      <c r="D140" s="19"/>
      <c r="E140" s="19"/>
      <c r="F140" s="19"/>
      <c r="G140" s="19"/>
      <c r="H140" s="19"/>
    </row>
    <row r="141" s="2" customFormat="1" ht="12.75"/>
    <row r="142" s="2" customFormat="1" ht="12.75">
      <c r="A142" s="4"/>
    </row>
    <row r="143" spans="1:8" s="2" customFormat="1" ht="12.75">
      <c r="A143" s="19" t="str">
        <f>"Personal Property Tax (line 1.020)"</f>
        <v>Personal Property Tax (line 1.020)</v>
      </c>
      <c r="B143" s="19"/>
      <c r="C143" s="19"/>
      <c r="D143" s="19"/>
      <c r="E143" s="19"/>
      <c r="F143" s="19"/>
      <c r="G143" s="19"/>
      <c r="H143" s="19"/>
    </row>
    <row r="144" s="2" customFormat="1" ht="12.75"/>
    <row r="145" s="2" customFormat="1" ht="12.75">
      <c r="A145" s="4"/>
    </row>
    <row r="146" spans="1:8" s="2" customFormat="1" ht="12.75">
      <c r="A146" s="19" t="str">
        <f>"Personal property taxes are now completely phased out. School"</f>
        <v>Personal property taxes are now completely phased out. School</v>
      </c>
      <c r="B146" s="19"/>
      <c r="C146" s="19"/>
      <c r="D146" s="19"/>
      <c r="E146" s="19"/>
      <c r="F146" s="19"/>
      <c r="G146" s="19"/>
      <c r="H146" s="19"/>
    </row>
    <row r="147" spans="1:8" s="2" customFormat="1" ht="12.75">
      <c r="A147" s="19" t="str">
        <f>"districts were receiving a subsidy (part of line 1.050) to help off-set"</f>
        <v>districts were receiving a subsidy (part of line 1.050) to help off-set</v>
      </c>
      <c r="B147" s="19"/>
      <c r="C147" s="19"/>
      <c r="D147" s="19"/>
      <c r="E147" s="19"/>
      <c r="F147" s="19"/>
      <c r="G147" s="19"/>
      <c r="H147" s="19"/>
    </row>
    <row r="148" spans="1:8" s="2" customFormat="1" ht="12.75">
      <c r="A148" s="19" t="str">
        <f>"the loss of tax revenue. However, this subsidy has been virtually"</f>
        <v>the loss of tax revenue. However, this subsidy has been virtually</v>
      </c>
      <c r="B148" s="19"/>
      <c r="C148" s="19"/>
      <c r="D148" s="19"/>
      <c r="E148" s="19"/>
      <c r="F148" s="19"/>
      <c r="G148" s="19"/>
      <c r="H148" s="19"/>
    </row>
    <row r="149" spans="1:8" s="2" customFormat="1" ht="12.75">
      <c r="A149" s="19" t="str">
        <f>"eliminated for Reynoldsburg. FY2011 was the last year that the"</f>
        <v>eliminated for Reynoldsburg. FY2011 was the last year that the</v>
      </c>
      <c r="B149" s="19"/>
      <c r="C149" s="19"/>
      <c r="D149" s="19"/>
      <c r="E149" s="19"/>
      <c r="F149" s="19"/>
      <c r="G149" s="19"/>
      <c r="H149" s="19"/>
    </row>
    <row r="150" spans="1:8" s="2" customFormat="1" ht="12.75">
      <c r="A150" s="19" t="str">
        <f>"District received any substantial revenue from this subsidy. The"</f>
        <v>District received any substantial revenue from this subsidy. The</v>
      </c>
      <c r="B150" s="19"/>
      <c r="C150" s="19"/>
      <c r="D150" s="19"/>
      <c r="E150" s="19"/>
      <c r="F150" s="19"/>
      <c r="G150" s="19"/>
      <c r="H150" s="19"/>
    </row>
    <row r="151" spans="1:8" s="2" customFormat="1" ht="12.75">
      <c r="A151" s="19" t="str">
        <f>"District continues to receive small payments from delinquent"</f>
        <v>District continues to receive small payments from delinquent</v>
      </c>
      <c r="B151" s="19"/>
      <c r="C151" s="19"/>
      <c r="D151" s="19"/>
      <c r="E151" s="19"/>
      <c r="F151" s="19"/>
      <c r="G151" s="19"/>
      <c r="H151" s="19"/>
    </row>
    <row r="152" spans="1:8" s="2" customFormat="1" ht="12.75">
      <c r="A152" s="19" t="str">
        <f>"collections."</f>
        <v>collections.</v>
      </c>
      <c r="B152" s="19"/>
      <c r="C152" s="19"/>
      <c r="D152" s="19"/>
      <c r="E152" s="19"/>
      <c r="F152" s="19"/>
      <c r="G152" s="19"/>
      <c r="H152" s="19"/>
    </row>
    <row r="153" s="2" customFormat="1" ht="12.75"/>
    <row r="154" s="2" customFormat="1" ht="12.75">
      <c r="A154" s="4"/>
    </row>
    <row r="155" spans="1:8" s="2" customFormat="1" ht="12.75">
      <c r="A155" s="19" t="str">
        <f>"Income Tax (line 1.030)"</f>
        <v>Income Tax (line 1.030)</v>
      </c>
      <c r="B155" s="19"/>
      <c r="C155" s="19"/>
      <c r="D155" s="19"/>
      <c r="E155" s="19"/>
      <c r="F155" s="19"/>
      <c r="G155" s="19"/>
      <c r="H155" s="19"/>
    </row>
    <row r="156" s="2" customFormat="1" ht="12.75"/>
    <row r="157" s="2" customFormat="1" ht="12.75">
      <c r="A157" s="4"/>
    </row>
    <row r="158" spans="1:8" s="2" customFormat="1" ht="12.75">
      <c r="A158" s="19" t="str">
        <f>"Income tax receipts are forecasted at a 1.75% increase for FY2014."</f>
        <v>Income tax receipts are forecasted at a 1.75% increase for FY2014.</v>
      </c>
      <c r="B158" s="19"/>
      <c r="C158" s="19"/>
      <c r="D158" s="19"/>
      <c r="E158" s="19"/>
      <c r="F158" s="19"/>
      <c r="G158" s="19"/>
      <c r="H158" s="19"/>
    </row>
    <row r="159" spans="1:8" s="2" customFormat="1" ht="12.75">
      <c r="A159" s="19" t="str">
        <f>"Due to the continued uncertainty in the economy, they are"</f>
        <v>Due to the continued uncertainty in the economy, they are</v>
      </c>
      <c r="B159" s="19"/>
      <c r="C159" s="19"/>
      <c r="D159" s="19"/>
      <c r="E159" s="19"/>
      <c r="F159" s="19"/>
      <c r="G159" s="19"/>
      <c r="H159" s="19"/>
    </row>
    <row r="160" spans="1:8" s="2" customFormat="1" ht="12.75">
      <c r="A160" s="19" t="str">
        <f>"projected to remain flat for the remainder of the forecast period."</f>
        <v>projected to remain flat for the remainder of the forecast period.</v>
      </c>
      <c r="B160" s="19"/>
      <c r="C160" s="19"/>
      <c r="D160" s="19"/>
      <c r="E160" s="19"/>
      <c r="F160" s="19"/>
      <c r="G160" s="19"/>
      <c r="H160" s="19"/>
    </row>
    <row r="161" s="2" customFormat="1" ht="12.75"/>
    <row r="162" s="2" customFormat="1" ht="12.75">
      <c r="A162" s="4"/>
    </row>
    <row r="163" spans="1:8" s="2" customFormat="1" ht="12.75">
      <c r="A163" s="19" t="str">
        <f>"State Funding (lines 1.035, 1.040, 1.045)"</f>
        <v>State Funding (lines 1.035, 1.040, 1.045)</v>
      </c>
      <c r="B163" s="19"/>
      <c r="C163" s="19"/>
      <c r="D163" s="19"/>
      <c r="E163" s="19"/>
      <c r="F163" s="19"/>
      <c r="G163" s="19"/>
      <c r="H163" s="19"/>
    </row>
    <row r="164" s="2" customFormat="1" ht="12.75"/>
    <row r="165" s="2" customFormat="1" ht="12.75">
      <c r="A165" s="4"/>
    </row>
    <row r="166" spans="1:8" s="2" customFormat="1" ht="12.75">
      <c r="A166" s="19" t="str">
        <f>"State funding has and will change several times during the forecast"</f>
        <v>State funding has and will change several times during the forecast</v>
      </c>
      <c r="B166" s="19"/>
      <c r="C166" s="19"/>
      <c r="D166" s="19"/>
      <c r="E166" s="19"/>
      <c r="F166" s="19"/>
      <c r="G166" s="19"/>
      <c r="H166" s="19"/>
    </row>
    <row r="167" spans="1:8" s="2" customFormat="1" ht="12.75">
      <c r="A167" s="19" t="str">
        <f>"period. The State sets funding for school districts every two years"</f>
        <v>period. The State sets funding for school districts every two years</v>
      </c>
      <c r="B167" s="19"/>
      <c r="C167" s="19"/>
      <c r="D167" s="19"/>
      <c r="E167" s="19"/>
      <c r="F167" s="19"/>
      <c r="G167" s="19"/>
      <c r="H167" s="19"/>
    </row>
    <row r="168" spans="1:8" s="2" customFormat="1" ht="12.75">
      <c r="A168" s="19" t="str">
        <f>"as part of the biennial budget. In addition, during the economic"</f>
        <v>as part of the biennial budget. In addition, during the economic</v>
      </c>
      <c r="B168" s="19"/>
      <c r="C168" s="19"/>
      <c r="D168" s="19"/>
      <c r="E168" s="19"/>
      <c r="F168" s="19"/>
      <c r="G168" s="19"/>
      <c r="H168" s="19"/>
    </row>
    <row r="169" spans="1:8" s="2" customFormat="1" ht="12.75">
      <c r="A169" s="19" t="str">
        <f>"downturn, districts received stimulus funding as part of their state"</f>
        <v>downturn, districts received stimulus funding as part of their state</v>
      </c>
      <c r="B169" s="19"/>
      <c r="C169" s="19"/>
      <c r="D169" s="19"/>
      <c r="E169" s="19"/>
      <c r="F169" s="19"/>
      <c r="G169" s="19"/>
      <c r="H169" s="19"/>
    </row>
    <row r="170" spans="1:8" s="2" customFormat="1" ht="12.75">
      <c r="A170" s="19" t="str">
        <f>"support. This necessitated accounting for state funding on three"</f>
        <v>support. This necessitated accounting for state funding on three</v>
      </c>
      <c r="B170" s="19"/>
      <c r="C170" s="19"/>
      <c r="D170" s="19"/>
      <c r="E170" s="19"/>
      <c r="F170" s="19"/>
      <c r="G170" s="19"/>
      <c r="H170" s="19"/>
    </row>
    <row r="171" spans="1:8" s="2" customFormat="1" ht="12.75">
      <c r="A171" s="19" t="str">
        <f>"different lines in the forecast."</f>
        <v>different lines in the forecast.</v>
      </c>
      <c r="B171" s="19"/>
      <c r="C171" s="19"/>
      <c r="D171" s="19"/>
      <c r="E171" s="19"/>
      <c r="F171" s="19"/>
      <c r="G171" s="19"/>
      <c r="H171" s="19"/>
    </row>
    <row r="172" s="2" customFormat="1" ht="12.75"/>
    <row r="173" s="2" customFormat="1" ht="12.75">
      <c r="A173" s="4"/>
    </row>
    <row r="174" spans="1:8" s="2" customFormat="1" ht="12.75">
      <c r="A174" s="19" t="str">
        <f>"FY2014 is the first year of a new biennial budget. The FY2014"</f>
        <v>FY2014 is the first year of a new biennial budget. The FY2014</v>
      </c>
      <c r="B174" s="19"/>
      <c r="C174" s="19"/>
      <c r="D174" s="19"/>
      <c r="E174" s="19"/>
      <c r="F174" s="19"/>
      <c r="G174" s="19"/>
      <c r="H174" s="19"/>
    </row>
    <row r="175" spans="1:8" s="2" customFormat="1" ht="12.75">
      <c r="A175" s="19" t="str">
        <f>"projection is based on enrollment and funding data as of April"</f>
        <v>projection is based on enrollment and funding data as of April</v>
      </c>
      <c r="B175" s="19"/>
      <c r="C175" s="19"/>
      <c r="D175" s="19"/>
      <c r="E175" s="19"/>
      <c r="F175" s="19"/>
      <c r="G175" s="19"/>
      <c r="H175" s="19"/>
    </row>
    <row r="176" spans="1:8" s="2" customFormat="1" ht="12.75">
      <c r="A176" s="19" t="str">
        <f>"2014. FY2015 enrollment is estimated based on the 3 year average"</f>
        <v>2014. FY2015 enrollment is estimated based on the 3 year average</v>
      </c>
      <c r="B176" s="19"/>
      <c r="C176" s="19"/>
      <c r="D176" s="19"/>
      <c r="E176" s="19"/>
      <c r="F176" s="19"/>
      <c r="G176" s="19"/>
      <c r="H176" s="19"/>
    </row>
    <row r="177" spans="1:8" s="2" customFormat="1" ht="12.75">
      <c r="A177" s="19" t="str">
        <f>"enrollment of resident students. The amount of state funding is"</f>
        <v>enrollment of resident students. The amount of state funding is</v>
      </c>
      <c r="B177" s="19"/>
      <c r="C177" s="19"/>
      <c r="D177" s="19"/>
      <c r="E177" s="19"/>
      <c r="F177" s="19"/>
      <c r="G177" s="19"/>
      <c r="H177" s="19"/>
    </row>
    <row r="178" spans="1:8" s="2" customFormat="1" ht="12.75">
      <c r="A178" s="19" t="str">
        <f>"driven by the number of students residing in the district. Any"</f>
        <v>driven by the number of students residing in the district. Any</v>
      </c>
      <c r="B178" s="19"/>
      <c r="C178" s="19"/>
      <c r="D178" s="19"/>
      <c r="E178" s="19"/>
      <c r="F178" s="19"/>
      <c r="G178" s="19"/>
      <c r="H178" s="19"/>
    </row>
    <row r="179" spans="1:8" s="2" customFormat="1" ht="12.75">
      <c r="A179" s="19" t="str">
        <f>"fluctuation in resident students will affect the amount of state"</f>
        <v>fluctuation in resident students will affect the amount of state</v>
      </c>
      <c r="B179" s="19"/>
      <c r="C179" s="19"/>
      <c r="D179" s="19"/>
      <c r="E179" s="19"/>
      <c r="F179" s="19"/>
      <c r="G179" s="19"/>
      <c r="H179" s="19"/>
    </row>
    <row r="180" spans="1:8" s="2" customFormat="1" ht="12.75">
      <c r="A180" s="19" t="str">
        <f>"funding for next year."</f>
        <v>funding for next year.</v>
      </c>
      <c r="B180" s="19"/>
      <c r="C180" s="19"/>
      <c r="D180" s="19"/>
      <c r="E180" s="19"/>
      <c r="F180" s="19"/>
      <c r="G180" s="19"/>
      <c r="H180" s="19"/>
    </row>
    <row r="181" s="2" customFormat="1" ht="12.75"/>
    <row r="182" s="2" customFormat="1" ht="12.75">
      <c r="A182" s="4"/>
    </row>
    <row r="183" spans="1:8" s="2" customFormat="1" ht="12.75">
      <c r="A183" s="19" t="str">
        <f>"Property Tax Allocation (line 1.050)"</f>
        <v>Property Tax Allocation (line 1.050)</v>
      </c>
      <c r="B183" s="19"/>
      <c r="C183" s="19"/>
      <c r="D183" s="19"/>
      <c r="E183" s="19"/>
      <c r="F183" s="19"/>
      <c r="G183" s="19"/>
      <c r="H183" s="19"/>
    </row>
    <row r="184" s="2" customFormat="1" ht="12.75"/>
    <row r="185" s="2" customFormat="1" ht="12.75">
      <c r="A185" s="4"/>
    </row>
    <row r="186" spans="1:8" s="2" customFormat="1" ht="12.75">
      <c r="A186" s="19" t="str">
        <f>"This line item of the forecast includes reimbursement for the"</f>
        <v>This line item of the forecast includes reimbursement for the</v>
      </c>
      <c r="B186" s="19"/>
      <c r="C186" s="19"/>
      <c r="D186" s="19"/>
      <c r="E186" s="19"/>
      <c r="F186" s="19"/>
      <c r="G186" s="19"/>
      <c r="H186" s="19"/>
    </row>
    <row r="187" spans="1:8" s="2" customFormat="1" ht="12.75">
      <c r="A187" s="19" t="str">
        <f>"Rollback and Homestead deductions which are deducted from"</f>
        <v>Rollback and Homestead deductions which are deducted from</v>
      </c>
      <c r="B187" s="19"/>
      <c r="C187" s="19"/>
      <c r="D187" s="19"/>
      <c r="E187" s="19"/>
      <c r="F187" s="19"/>
      <c r="G187" s="19"/>
      <c r="H187" s="19"/>
    </row>
    <row r="188" spans="1:8" s="2" customFormat="1" ht="12.75">
      <c r="A188" s="19" t="str">
        <f>"taxpayers? property tax bills. In FY2011, it also includes the"</f>
        <v>taxpayers? property tax bills. In FY2011, it also includes the</v>
      </c>
      <c r="B188" s="19"/>
      <c r="C188" s="19"/>
      <c r="D188" s="19"/>
      <c r="E188" s="19"/>
      <c r="F188" s="19"/>
      <c r="G188" s="19"/>
      <c r="H188" s="19"/>
    </row>
    <row r="189" spans="1:8" s="2" customFormat="1" ht="12.75">
      <c r="A189" s="19" t="str">
        <f>"tangible personal property tax subsidy."</f>
        <v>tangible personal property tax subsidy.</v>
      </c>
      <c r="B189" s="19"/>
      <c r="C189" s="19"/>
      <c r="D189" s="19"/>
      <c r="E189" s="19"/>
      <c r="F189" s="19"/>
      <c r="G189" s="19"/>
      <c r="H189" s="19"/>
    </row>
    <row r="190" s="2" customFormat="1" ht="12.75"/>
    <row r="191" s="2" customFormat="1" ht="12.75">
      <c r="A191" s="4"/>
    </row>
    <row r="192" spans="1:8" s="2" customFormat="1" ht="12.75">
      <c r="A192" s="19" t="str">
        <f>"Rollback and Homestead Reimbursement"</f>
        <v>Rollback and Homestead Reimbursement</v>
      </c>
      <c r="B192" s="19"/>
      <c r="C192" s="19"/>
      <c r="D192" s="19"/>
      <c r="E192" s="19"/>
      <c r="F192" s="19"/>
      <c r="G192" s="19"/>
      <c r="H192" s="19"/>
    </row>
    <row r="193" s="2" customFormat="1" ht="12.75"/>
    <row r="194" s="2" customFormat="1" ht="12.75">
      <c r="A194" s="4"/>
    </row>
    <row r="195" spans="1:8" s="2" customFormat="1" ht="12.75">
      <c r="A195" s="19" t="str">
        <f>"The State reimburses the District for these deductions from"</f>
        <v>The State reimburses the District for these deductions from</v>
      </c>
      <c r="B195" s="19"/>
      <c r="C195" s="19"/>
      <c r="D195" s="19"/>
      <c r="E195" s="19"/>
      <c r="F195" s="19"/>
      <c r="G195" s="19"/>
      <c r="H195" s="19"/>
    </row>
    <row r="196" spans="1:8" s="2" customFormat="1" ht="12.75">
      <c r="A196" s="19" t="str">
        <f>"taxpayers? tax bills. In FY2014, we are estimating this to be just"</f>
        <v>taxpayers? tax bills. In FY2014, we are estimating this to be just</v>
      </c>
      <c r="B196" s="19"/>
      <c r="C196" s="19"/>
      <c r="D196" s="19"/>
      <c r="E196" s="19"/>
      <c r="F196" s="19"/>
      <c r="G196" s="19"/>
      <c r="H196" s="19"/>
    </row>
    <row r="197" spans="1:8" s="2" customFormat="1" ht="12.75">
      <c r="A197" s="19" t="str">
        <f>"under $3M. This estimate was increased during the forecast period"</f>
        <v>under $3M. This estimate was increased during the forecast period</v>
      </c>
      <c r="B197" s="19"/>
      <c r="C197" s="19"/>
      <c r="D197" s="19"/>
      <c r="E197" s="19"/>
      <c r="F197" s="19"/>
      <c r="G197" s="19"/>
      <c r="H197" s="19"/>
    </row>
    <row r="198" spans="1:8" s="2" customFormat="1" ht="12.75">
      <c r="A198" s="19" t="str">
        <f>"to account for reimbursements due to the May 2010 levy."</f>
        <v>to account for reimbursements due to the May 2010 levy.</v>
      </c>
      <c r="B198" s="19"/>
      <c r="C198" s="19"/>
      <c r="D198" s="19"/>
      <c r="E198" s="19"/>
      <c r="F198" s="19"/>
      <c r="G198" s="19"/>
      <c r="H198" s="19"/>
    </row>
    <row r="199" s="2" customFormat="1" ht="12.75"/>
    <row r="200" s="2" customFormat="1" ht="12.75">
      <c r="A200" s="4"/>
    </row>
    <row r="201" spans="1:8" s="2" customFormat="1" ht="12.75">
      <c r="A201" s="19" t="str">
        <f>"Tangible Personal Property Tax Subsidy"</f>
        <v>Tangible Personal Property Tax Subsidy</v>
      </c>
      <c r="B201" s="19"/>
      <c r="C201" s="19"/>
      <c r="D201" s="19"/>
      <c r="E201" s="19"/>
      <c r="F201" s="19"/>
      <c r="G201" s="19"/>
      <c r="H201" s="19"/>
    </row>
    <row r="202" s="2" customFormat="1" ht="12.75"/>
    <row r="203" s="2" customFormat="1" ht="12.75">
      <c r="A203" s="4"/>
    </row>
    <row r="204" spans="1:8" s="2" customFormat="1" ht="12.75">
      <c r="A204" s="19" t="str">
        <f>"School districts were receiving a subsidy to help off-set revenue"</f>
        <v>School districts were receiving a subsidy to help off-set revenue</v>
      </c>
      <c r="B204" s="19"/>
      <c r="C204" s="19"/>
      <c r="D204" s="19"/>
      <c r="E204" s="19"/>
      <c r="F204" s="19"/>
      <c r="G204" s="19"/>
      <c r="H204" s="19"/>
    </row>
    <row r="205" spans="1:8" s="2" customFormat="1" ht="12.75">
      <c r="A205" s="19" t="str">
        <f>"losses from the elimination of the Tangible Personal Property Tax"</f>
        <v>losses from the elimination of the Tangible Personal Property Tax</v>
      </c>
      <c r="B205" s="19"/>
      <c r="C205" s="19"/>
      <c r="D205" s="19"/>
      <c r="E205" s="19"/>
      <c r="F205" s="19"/>
      <c r="G205" s="19"/>
      <c r="H205" s="19"/>
    </row>
    <row r="206" spans="1:8" s="2" customFormat="1" ht="12.75">
      <c r="A206" s="19" t="str">
        <f>"(line 1.020). HB153, effective for FY2012, virtually eliminated"</f>
        <v>(line 1.020). HB153, effective for FY2012, virtually eliminated</v>
      </c>
      <c r="B206" s="19"/>
      <c r="C206" s="19"/>
      <c r="D206" s="19"/>
      <c r="E206" s="19"/>
      <c r="F206" s="19"/>
      <c r="G206" s="19"/>
      <c r="H206" s="19"/>
    </row>
    <row r="207" spans="1:8" s="2" customFormat="1" ht="12.75">
      <c r="A207" s="19" t="str">
        <f>"this subsidy for Reynoldsburg. This is a loss of about $1M."</f>
        <v>this subsidy for Reynoldsburg. This is a loss of about $1M.</v>
      </c>
      <c r="B207" s="19"/>
      <c r="C207" s="19"/>
      <c r="D207" s="19"/>
      <c r="E207" s="19"/>
      <c r="F207" s="19"/>
      <c r="G207" s="19"/>
      <c r="H207" s="19"/>
    </row>
    <row r="208" s="2" customFormat="1" ht="12.75"/>
    <row r="209" s="2" customFormat="1" ht="12.75">
      <c r="A209" s="4"/>
    </row>
    <row r="210" spans="1:8" s="2" customFormat="1" ht="12.75">
      <c r="A210" s="19" t="str">
        <f>"Other Revenues (line1.060)"</f>
        <v>Other Revenues (line1.060)</v>
      </c>
      <c r="B210" s="19"/>
      <c r="C210" s="19"/>
      <c r="D210" s="19"/>
      <c r="E210" s="19"/>
      <c r="F210" s="19"/>
      <c r="G210" s="19"/>
      <c r="H210" s="19"/>
    </row>
    <row r="211" s="2" customFormat="1" ht="12.75"/>
    <row r="212" s="2" customFormat="1" ht="12.75">
      <c r="A212" s="4"/>
    </row>
    <row r="213" spans="1:8" s="2" customFormat="1" ht="12.75">
      <c r="A213" s="19" t="str">
        <f>"Other revenues include tuition from other districts, revenue in lieu"</f>
        <v>Other revenues include tuition from other districts, revenue in lieu</v>
      </c>
      <c r="B213" s="19"/>
      <c r="C213" s="19"/>
      <c r="D213" s="19"/>
      <c r="E213" s="19"/>
      <c r="F213" s="19"/>
      <c r="G213" s="19"/>
      <c r="H213" s="19"/>
    </row>
    <row r="214" spans="1:8" s="2" customFormat="1" ht="12.75">
      <c r="A214" s="19" t="str">
        <f>"of taxes (TIF receipts), interest on investments, fees for community"</f>
        <v>of taxes (TIF receipts), interest on investments, fees for community</v>
      </c>
      <c r="B214" s="19"/>
      <c r="C214" s="19"/>
      <c r="D214" s="19"/>
      <c r="E214" s="19"/>
      <c r="F214" s="19"/>
      <c r="G214" s="19"/>
      <c r="H214" s="19"/>
    </row>
    <row r="215" spans="1:8" s="2" customFormat="1" ht="12.75">
      <c r="A215" s="19" t="str">
        <f>"school sponsorship, fees for shared services, open enrollment, etc."</f>
        <v>school sponsorship, fees for shared services, open enrollment, etc.</v>
      </c>
      <c r="B215" s="19"/>
      <c r="C215" s="19"/>
      <c r="D215" s="19"/>
      <c r="E215" s="19"/>
      <c r="F215" s="19"/>
      <c r="G215" s="19"/>
      <c r="H215" s="19"/>
    </row>
    <row r="216" spans="1:8" s="2" customFormat="1" ht="12.75">
      <c r="A216" s="19" t="str">
        <f>"The five largest items are:"</f>
        <v>The five largest items are:</v>
      </c>
      <c r="B216" s="19"/>
      <c r="C216" s="19"/>
      <c r="D216" s="19"/>
      <c r="E216" s="19"/>
      <c r="F216" s="19"/>
      <c r="G216" s="19"/>
      <c r="H216" s="19"/>
    </row>
    <row r="217" s="2" customFormat="1" ht="12.75"/>
    <row r="218" s="2" customFormat="1" ht="12.75">
      <c r="A218" s="4"/>
    </row>
    <row r="219" spans="1:8" s="2" customFormat="1" ht="12.75">
      <c r="A219" s="19" t="str">
        <f>"*Open Enrollment In$2,195,000"</f>
        <v>*Open Enrollment In$2,195,000</v>
      </c>
      <c r="B219" s="19"/>
      <c r="C219" s="19"/>
      <c r="D219" s="19"/>
      <c r="E219" s="19"/>
      <c r="F219" s="19"/>
      <c r="G219" s="19"/>
      <c r="H219" s="19"/>
    </row>
    <row r="220" spans="1:8" s="2" customFormat="1" ht="12.75">
      <c r="A220" s="19" t="str">
        <f>"*TIF Receipts $1,498,000"</f>
        <v>*TIF Receipts $1,498,000</v>
      </c>
      <c r="B220" s="19"/>
      <c r="C220" s="19"/>
      <c r="D220" s="19"/>
      <c r="E220" s="19"/>
      <c r="F220" s="19"/>
      <c r="G220" s="19"/>
      <c r="H220" s="19"/>
    </row>
    <row r="221" spans="1:8" s="2" customFormat="1" ht="12.75">
      <c r="A221" s="19" t="str">
        <f>"*Community School Sponsorship Fees $424,000"</f>
        <v>*Community School Sponsorship Fees $424,000</v>
      </c>
      <c r="B221" s="19"/>
      <c r="C221" s="19"/>
      <c r="D221" s="19"/>
      <c r="E221" s="19"/>
      <c r="F221" s="19"/>
      <c r="G221" s="19"/>
      <c r="H221" s="19"/>
    </row>
    <row r="222" spans="1:8" s="2" customFormat="1" ht="12.75">
      <c r="A222" s="19" t="str">
        <f>"*Tuition from Other Districts $377,000"</f>
        <v>*Tuition from Other Districts $377,000</v>
      </c>
      <c r="B222" s="19"/>
      <c r="C222" s="19"/>
      <c r="D222" s="19"/>
      <c r="E222" s="19"/>
      <c r="F222" s="19"/>
      <c r="G222" s="19"/>
      <c r="H222" s="19"/>
    </row>
    <row r="223" spans="1:8" s="2" customFormat="1" ht="12.75">
      <c r="A223" s="19" t="str">
        <f>"*Special Ed Tuition/Excess Cost $219,000"</f>
        <v>*Special Ed Tuition/Excess Cost $219,000</v>
      </c>
      <c r="B223" s="19"/>
      <c r="C223" s="19"/>
      <c r="D223" s="19"/>
      <c r="E223" s="19"/>
      <c r="F223" s="19"/>
      <c r="G223" s="19"/>
      <c r="H223" s="19"/>
    </row>
    <row r="224" s="2" customFormat="1" ht="12.75"/>
    <row r="225" s="2" customFormat="1" ht="12.75">
      <c r="A225" s="4"/>
    </row>
    <row r="226" spans="1:8" s="2" customFormat="1" ht="12.75">
      <c r="A226" s="19" t="str">
        <f>"In FY2013, the District began accepting open enrollment students,"</f>
        <v>In FY2013, the District began accepting open enrollment students,</v>
      </c>
      <c r="B226" s="19"/>
      <c r="C226" s="19"/>
      <c r="D226" s="19"/>
      <c r="E226" s="19"/>
      <c r="F226" s="19"/>
      <c r="G226" s="19"/>
      <c r="H226" s="19"/>
    </row>
    <row r="227" spans="1:8" s="2" customFormat="1" ht="12.75">
      <c r="A227" s="19" t="str">
        <f>"which resulted in revenues of $1M for 176 students. In FY2014,"</f>
        <v>which resulted in revenues of $1M for 176 students. In FY2014,</v>
      </c>
      <c r="B227" s="19"/>
      <c r="C227" s="19"/>
      <c r="D227" s="19"/>
      <c r="E227" s="19"/>
      <c r="F227" s="19"/>
      <c r="G227" s="19"/>
      <c r="H227" s="19"/>
    </row>
    <row r="228" spans="1:8" s="2" customFormat="1" ht="12.75">
      <c r="A228" s="19" t="str">
        <f>"open enrollment students increased to 381."</f>
        <v>open enrollment students increased to 381.</v>
      </c>
      <c r="B228" s="19"/>
      <c r="C228" s="19"/>
      <c r="D228" s="19"/>
      <c r="E228" s="19"/>
      <c r="F228" s="19"/>
      <c r="G228" s="19"/>
      <c r="H228" s="19"/>
    </row>
    <row r="229" s="2" customFormat="1" ht="12.75"/>
    <row r="230" s="2" customFormat="1" ht="12.75">
      <c r="A230" s="4"/>
    </row>
    <row r="231" spans="1:8" s="2" customFormat="1" ht="12.75">
      <c r="A231" s="19" t="str">
        <f>"----Expenditures----"</f>
        <v>----Expenditures----</v>
      </c>
      <c r="B231" s="19"/>
      <c r="C231" s="19"/>
      <c r="D231" s="19"/>
      <c r="E231" s="19"/>
      <c r="F231" s="19"/>
      <c r="G231" s="19"/>
      <c r="H231" s="19"/>
    </row>
    <row r="232" s="2" customFormat="1" ht="12.75"/>
    <row r="233" s="2" customFormat="1" ht="12.75">
      <c r="A233" s="4"/>
    </row>
    <row r="234" spans="1:8" s="2" customFormat="1" ht="12.75">
      <c r="A234" s="19" t="str">
        <f>"Salaries (line 3.010) and Benefits (line 3.020)"</f>
        <v>Salaries (line 3.010) and Benefits (line 3.020)</v>
      </c>
      <c r="B234" s="19"/>
      <c r="C234" s="19"/>
      <c r="D234" s="19"/>
      <c r="E234" s="19"/>
      <c r="F234" s="19"/>
      <c r="G234" s="19"/>
      <c r="H234" s="19"/>
    </row>
    <row r="235" s="2" customFormat="1" ht="12.75"/>
    <row r="236" s="2" customFormat="1" ht="12.75">
      <c r="A236" s="4"/>
    </row>
    <row r="237" spans="1:8" s="2" customFormat="1" ht="12.75">
      <c r="A237" s="19" t="str">
        <f>"Fiscal year 2014 salaries and benefits are based on the actual staff"</f>
        <v>Fiscal year 2014 salaries and benefits are based on the actual staff</v>
      </c>
      <c r="B237" s="19"/>
      <c r="C237" s="19"/>
      <c r="D237" s="19"/>
      <c r="E237" s="19"/>
      <c r="F237" s="19"/>
      <c r="G237" s="19"/>
      <c r="H237" s="19"/>
    </row>
    <row r="238" spans="1:8" s="2" customFormat="1" ht="12.75">
      <c r="A238" s="19" t="str">
        <f>"employed and their salaries and benefits as of April 2014."</f>
        <v>employed and their salaries and benefits as of April 2014.</v>
      </c>
      <c r="B238" s="19"/>
      <c r="C238" s="19"/>
      <c r="D238" s="19"/>
      <c r="E238" s="19"/>
      <c r="F238" s="19"/>
      <c r="G238" s="19"/>
      <c r="H238" s="19"/>
    </row>
    <row r="239" s="2" customFormat="1" ht="12.75"/>
    <row r="240" s="2" customFormat="1" ht="12.75">
      <c r="A240" s="4"/>
    </row>
    <row r="241" spans="1:8" s="2" customFormat="1" ht="12.75">
      <c r="A241" s="19" t="str">
        <f>"Salaries"</f>
        <v>Salaries</v>
      </c>
      <c r="B241" s="19"/>
      <c r="C241" s="19"/>
      <c r="D241" s="19"/>
      <c r="E241" s="19"/>
      <c r="F241" s="19"/>
      <c r="G241" s="19"/>
      <c r="H241" s="19"/>
    </row>
    <row r="242" s="2" customFormat="1" ht="12.75"/>
    <row r="243" s="2" customFormat="1" ht="12.75">
      <c r="A243" s="4"/>
    </row>
    <row r="244" spans="1:8" s="2" customFormat="1" ht="12.75">
      <c r="A244" s="19" t="str">
        <f>"The District approved a three year contract with certified"</f>
        <v>The District approved a three year contract with certified</v>
      </c>
      <c r="B244" s="19"/>
      <c r="C244" s="19"/>
      <c r="D244" s="19"/>
      <c r="E244" s="19"/>
      <c r="F244" s="19"/>
      <c r="G244" s="19"/>
      <c r="H244" s="19"/>
    </row>
    <row r="245" spans="1:8" s="2" customFormat="1" ht="12.75">
      <c r="A245" s="19" t="str">
        <f>"employees effective 8/1/2011. The contract froze the base salary"</f>
        <v>employees effective 8/1/2011. The contract froze the base salary</v>
      </c>
      <c r="B245" s="19"/>
      <c r="C245" s="19"/>
      <c r="D245" s="19"/>
      <c r="E245" s="19"/>
      <c r="F245" s="19"/>
      <c r="G245" s="19"/>
      <c r="H245" s="19"/>
    </row>
    <row r="246" spans="1:8" s="2" customFormat="1" ht="12.75">
      <c r="A246" s="19" t="str">
        <f>"for three years and froze steps for two years. Certified employees"</f>
        <v>for three years and froze steps for two years. Certified employees</v>
      </c>
      <c r="B246" s="19"/>
      <c r="C246" s="19"/>
      <c r="D246" s="19"/>
      <c r="E246" s="19"/>
      <c r="F246" s="19"/>
      <c r="G246" s="19"/>
      <c r="H246" s="19"/>
    </row>
    <row r="247" spans="1:8" s="2" customFormat="1" ht="12.75">
      <c r="A247" s="19" t="str">
        <f>"who did not receive a step increase in FY2012 received a 2% cost-"</f>
        <v>who did not receive a step increase in FY2012 received a 2% cost-</v>
      </c>
      <c r="B247" s="19"/>
      <c r="C247" s="19"/>
      <c r="D247" s="19"/>
      <c r="E247" s="19"/>
      <c r="F247" s="19"/>
      <c r="G247" s="19"/>
      <c r="H247" s="19"/>
    </row>
    <row r="248" spans="1:8" s="2" customFormat="1" ht="12.75">
      <c r="A248" s="19" t="str">
        <f>"of-living increase. Certified staff received a 1% increase in"</f>
        <v>of-living increase. Certified staff received a 1% increase in</v>
      </c>
      <c r="B248" s="19"/>
      <c r="C248" s="19"/>
      <c r="D248" s="19"/>
      <c r="E248" s="19"/>
      <c r="F248" s="19"/>
      <c r="G248" s="19"/>
      <c r="H248" s="19"/>
    </row>
    <row r="249" spans="1:8" s="2" customFormat="1" ht="12.75">
      <c r="A249" s="19" t="str">
        <f>"FY2013 and received a lump sum payment equal to 1% of their"</f>
        <v>FY2013 and received a lump sum payment equal to 1% of their</v>
      </c>
      <c r="B249" s="19"/>
      <c r="C249" s="19"/>
      <c r="D249" s="19"/>
      <c r="E249" s="19"/>
      <c r="F249" s="19"/>
      <c r="G249" s="19"/>
      <c r="H249" s="19"/>
    </row>
    <row r="250" spans="1:8" s="2" customFormat="1" ht="12.75">
      <c r="A250" s="19" t="str">
        <f>"contracted salary in FY2014."</f>
        <v>contracted salary in FY2014.</v>
      </c>
      <c r="B250" s="19"/>
      <c r="C250" s="19"/>
      <c r="D250" s="19"/>
      <c r="E250" s="19"/>
      <c r="F250" s="19"/>
      <c r="G250" s="19"/>
      <c r="H250" s="19"/>
    </row>
    <row r="251" s="2" customFormat="1" ht="12.75"/>
    <row r="252" s="2" customFormat="1" ht="12.75">
      <c r="A252" s="4"/>
    </row>
    <row r="253" spans="1:8" s="2" customFormat="1" ht="12.75">
      <c r="A253" s="19" t="str">
        <f>"The District also approved a four year contract with the classified"</f>
        <v>The District also approved a four year contract with the classified</v>
      </c>
      <c r="B253" s="19"/>
      <c r="C253" s="19"/>
      <c r="D253" s="19"/>
      <c r="E253" s="19"/>
      <c r="F253" s="19"/>
      <c r="G253" s="19"/>
      <c r="H253" s="19"/>
    </row>
    <row r="254" spans="1:8" s="2" customFormat="1" ht="12.75">
      <c r="A254" s="19" t="str">
        <f>"staff. The contract froze steps beginning with FY2013. Staff"</f>
        <v>staff. The contract froze steps beginning with FY2013. Staff</v>
      </c>
      <c r="B254" s="19"/>
      <c r="C254" s="19"/>
      <c r="D254" s="19"/>
      <c r="E254" s="19"/>
      <c r="F254" s="19"/>
      <c r="G254" s="19"/>
      <c r="H254" s="19"/>
    </row>
    <row r="255" spans="1:8" s="2" customFormat="1" ht="12.75">
      <c r="A255" s="19" t="str">
        <f>"received a 2% increase in FY2013 and a 1% increase in FY2014."</f>
        <v>received a 2% increase in FY2013 and a 1% increase in FY2014.</v>
      </c>
      <c r="B255" s="19"/>
      <c r="C255" s="19"/>
      <c r="D255" s="19"/>
      <c r="E255" s="19"/>
      <c r="F255" s="19"/>
      <c r="G255" s="19"/>
      <c r="H255" s="19"/>
    </row>
    <row r="256" spans="1:8" s="2" customFormat="1" ht="12.75">
      <c r="A256" s="19" t="str">
        <f>"Salaries are frozen in FY2015, however staff will receive a lump"</f>
        <v>Salaries are frozen in FY2015, however staff will receive a lump</v>
      </c>
      <c r="B256" s="19"/>
      <c r="C256" s="19"/>
      <c r="D256" s="19"/>
      <c r="E256" s="19"/>
      <c r="F256" s="19"/>
      <c r="G256" s="19"/>
      <c r="H256" s="19"/>
    </row>
    <row r="257" spans="1:8" s="2" customFormat="1" ht="12.75">
      <c r="A257" s="19" t="str">
        <f>"sum payment equal to 1% of their contracted salary in FY15. In"</f>
        <v>sum payment equal to 1% of their contracted salary in FY15. In</v>
      </c>
      <c r="B257" s="19"/>
      <c r="C257" s="19"/>
      <c r="D257" s="19"/>
      <c r="E257" s="19"/>
      <c r="F257" s="19"/>
      <c r="G257" s="19"/>
      <c r="H257" s="19"/>
    </row>
    <row r="258" spans="1:8" s="2" customFormat="1" ht="12.75">
      <c r="A258" s="19" t="str">
        <f>"addition, a lower second tier salary schedule was approved for all"</f>
        <v>addition, a lower second tier salary schedule was approved for all</v>
      </c>
      <c r="B258" s="19"/>
      <c r="C258" s="19"/>
      <c r="D258" s="19"/>
      <c r="E258" s="19"/>
      <c r="F258" s="19"/>
      <c r="G258" s="19"/>
      <c r="H258" s="19"/>
    </row>
    <row r="259" spans="1:8" s="2" customFormat="1" ht="12.75">
      <c r="A259" s="19" t="str">
        <f>"staff hired after April 2012."</f>
        <v>staff hired after April 2012.</v>
      </c>
      <c r="B259" s="19"/>
      <c r="C259" s="19"/>
      <c r="D259" s="19"/>
      <c r="E259" s="19"/>
      <c r="F259" s="19"/>
      <c r="G259" s="19"/>
      <c r="H259" s="19"/>
    </row>
    <row r="260" s="2" customFormat="1" ht="12.75"/>
    <row r="261" s="2" customFormat="1" ht="12.75">
      <c r="A261" s="4"/>
    </row>
    <row r="262" spans="1:8" s="2" customFormat="1" ht="12.75">
      <c r="A262" s="19" t="str">
        <f>"The forecast for salaries includes an allocation for performance"</f>
        <v>The forecast for salaries includes an allocation for performance</v>
      </c>
      <c r="B262" s="19"/>
      <c r="C262" s="19"/>
      <c r="D262" s="19"/>
      <c r="E262" s="19"/>
      <c r="F262" s="19"/>
      <c r="G262" s="19"/>
      <c r="H262" s="19"/>
    </row>
    <row r="263" spans="1:8" s="2" customFormat="1" ht="12.75">
      <c r="A263" s="19" t="str">
        <f>"based pay and an estimate for step increases starting in FY2015 for"</f>
        <v>based pay and an estimate for step increases starting in FY2015 for</v>
      </c>
      <c r="B263" s="19"/>
      <c r="C263" s="19"/>
      <c r="D263" s="19"/>
      <c r="E263" s="19"/>
      <c r="F263" s="19"/>
      <c r="G263" s="19"/>
      <c r="H263" s="19"/>
    </row>
    <row r="264" spans="1:8" s="2" customFormat="1" ht="12.75">
      <c r="A264" s="19" t="str">
        <f>"certified staff and FY2016 for classified staff."</f>
        <v>certified staff and FY2016 for classified staff.</v>
      </c>
      <c r="B264" s="19"/>
      <c r="C264" s="19"/>
      <c r="D264" s="19"/>
      <c r="E264" s="19"/>
      <c r="F264" s="19"/>
      <c r="G264" s="19"/>
      <c r="H264" s="19"/>
    </row>
    <row r="265" s="2" customFormat="1" ht="12.75"/>
    <row r="266" s="2" customFormat="1" ht="12.75">
      <c r="A266" s="4"/>
    </row>
    <row r="267" spans="1:8" s="2" customFormat="1" ht="12.75">
      <c r="A267" s="19" t="str">
        <f>"The negotiated agreement with the certified staff expires July 31,"</f>
        <v>The negotiated agreement with the certified staff expires July 31,</v>
      </c>
      <c r="B267" s="19"/>
      <c r="C267" s="19"/>
      <c r="D267" s="19"/>
      <c r="E267" s="19"/>
      <c r="F267" s="19"/>
      <c r="G267" s="19"/>
      <c r="H267" s="19"/>
    </row>
    <row r="268" spans="1:8" s="2" customFormat="1" ht="12.75">
      <c r="A268" s="19" t="str">
        <f>"2014. The classified staff contract expires June 30, 2015."</f>
        <v>2014. The classified staff contract expires June 30, 2015.</v>
      </c>
      <c r="B268" s="19"/>
      <c r="C268" s="19"/>
      <c r="D268" s="19"/>
      <c r="E268" s="19"/>
      <c r="F268" s="19"/>
      <c r="G268" s="19"/>
      <c r="H268" s="19"/>
    </row>
    <row r="269" s="2" customFormat="1" ht="12.75"/>
    <row r="270" s="2" customFormat="1" ht="12.75">
      <c r="A270" s="4"/>
    </row>
    <row r="271" spans="1:8" s="2" customFormat="1" ht="12.75">
      <c r="A271" s="19" t="str">
        <f>"Effective 1/1/2012, the District restructured the health insurance"</f>
        <v>Effective 1/1/2012, the District restructured the health insurance</v>
      </c>
      <c r="B271" s="19"/>
      <c r="C271" s="19"/>
      <c r="D271" s="19"/>
      <c r="E271" s="19"/>
      <c r="F271" s="19"/>
      <c r="G271" s="19"/>
      <c r="H271" s="19"/>
    </row>
    <row r="272" spans="1:8" s="2" customFormat="1" ht="12.75">
      <c r="A272" s="19" t="str">
        <f>"plan offered to employees. The restructure raised deductibles and"</f>
        <v>plan offered to employees. The restructure raised deductibles and</v>
      </c>
      <c r="B272" s="19"/>
      <c r="C272" s="19"/>
      <c r="D272" s="19"/>
      <c r="E272" s="19"/>
      <c r="F272" s="19"/>
      <c r="G272" s="19"/>
      <c r="H272" s="19"/>
    </row>
    <row r="273" spans="1:8" s="2" customFormat="1" ht="12.75">
      <c r="A273" s="19" t="str">
        <f>"out-of-pocket limits as well as increased the cost of name brand"</f>
        <v>out-of-pocket limits as well as increased the cost of name brand</v>
      </c>
      <c r="B273" s="19"/>
      <c r="C273" s="19"/>
      <c r="D273" s="19"/>
      <c r="E273" s="19"/>
      <c r="F273" s="19"/>
      <c r="G273" s="19"/>
      <c r="H273" s="19"/>
    </row>
    <row r="274" spans="1:8" s="2" customFormat="1" ht="12.75">
      <c r="A274" s="19" t="str">
        <f>"medications. As part of the contracts, the employees? share of"</f>
        <v>medications. As part of the contracts, the employees? share of</v>
      </c>
      <c r="B274" s="19"/>
      <c r="C274" s="19"/>
      <c r="D274" s="19"/>
      <c r="E274" s="19"/>
      <c r="F274" s="19"/>
      <c r="G274" s="19"/>
      <c r="H274" s="19"/>
    </row>
    <row r="275" spans="1:8" s="2" customFormat="1" ht="12.75">
      <c r="A275" s="19" t="str">
        <f>"health care premiums was also increased."</f>
        <v>health care premiums was also increased.</v>
      </c>
      <c r="B275" s="19"/>
      <c r="C275" s="19"/>
      <c r="D275" s="19"/>
      <c r="E275" s="19"/>
      <c r="F275" s="19"/>
      <c r="G275" s="19"/>
      <c r="H275" s="19"/>
    </row>
    <row r="276" s="2" customFormat="1" ht="12.75"/>
    <row r="277" s="2" customFormat="1" ht="12.75">
      <c r="A277" s="4"/>
    </row>
    <row r="278" spans="1:8" s="2" customFormat="1" ht="12.75">
      <c r="A278" s="19" t="str">
        <f>"Purchased Services (line 3.030)"</f>
        <v>Purchased Services (line 3.030)</v>
      </c>
      <c r="B278" s="19"/>
      <c r="C278" s="19"/>
      <c r="D278" s="19"/>
      <c r="E278" s="19"/>
      <c r="F278" s="19"/>
      <c r="G278" s="19"/>
      <c r="H278" s="19"/>
    </row>
    <row r="279" s="2" customFormat="1" ht="12.75"/>
    <row r="280" s="2" customFormat="1" ht="12.75">
      <c r="A280" s="4"/>
    </row>
    <row r="281" spans="1:8" s="2" customFormat="1" ht="12.75">
      <c r="A281" s="19" t="str">
        <f>"Purchased services include, among other things, utilities, building"</f>
        <v>Purchased services include, among other things, utilities, building</v>
      </c>
      <c r="B281" s="19"/>
      <c r="C281" s="19"/>
      <c r="D281" s="19"/>
      <c r="E281" s="19"/>
      <c r="F281" s="19"/>
      <c r="G281" s="19"/>
      <c r="H281" s="19"/>
    </row>
    <row r="282" spans="1:8" s="2" customFormat="1" ht="12.75">
      <c r="A282" s="19" t="str">
        <f>"repairs and maintenance, bus repairs and maintenance, service"</f>
        <v>repairs and maintenance, bus repairs and maintenance, service</v>
      </c>
      <c r="B282" s="19"/>
      <c r="C282" s="19"/>
      <c r="D282" s="19"/>
      <c r="E282" s="19"/>
      <c r="F282" s="19"/>
      <c r="G282" s="19"/>
      <c r="H282" s="19"/>
    </row>
    <row r="283" spans="1:8" s="2" customFormat="1" ht="12.75">
      <c r="A283" s="19" t="str">
        <f>"agreements, copier leases, TRECA computer services, meeting and"</f>
        <v>agreements, copier leases, TRECA computer services, meeting and</v>
      </c>
      <c r="B283" s="19"/>
      <c r="C283" s="19"/>
      <c r="D283" s="19"/>
      <c r="E283" s="19"/>
      <c r="F283" s="19"/>
      <c r="G283" s="19"/>
      <c r="H283" s="19"/>
    </row>
    <row r="284" spans="1:8" s="2" customFormat="1" ht="12.75">
      <c r="A284" s="19" t="str">
        <f>"mileage expenses, special education tuition and services, and open"</f>
        <v>mileage expenses, special education tuition and services, and open</v>
      </c>
      <c r="B284" s="19"/>
      <c r="C284" s="19"/>
      <c r="D284" s="19"/>
      <c r="E284" s="19"/>
      <c r="F284" s="19"/>
      <c r="G284" s="19"/>
      <c r="H284" s="19"/>
    </row>
    <row r="285" spans="1:8" s="2" customFormat="1" ht="12.75">
      <c r="A285" s="19" t="str">
        <f>"enrollment and community school students leaving the District."</f>
        <v>enrollment and community school students leaving the District.</v>
      </c>
      <c r="B285" s="19"/>
      <c r="C285" s="19"/>
      <c r="D285" s="19"/>
      <c r="E285" s="19"/>
      <c r="F285" s="19"/>
      <c r="G285" s="19"/>
      <c r="H285" s="19"/>
    </row>
    <row r="286" spans="1:8" s="2" customFormat="1" ht="12.75">
      <c r="A286" s="19" t="str">
        <f>"This line item accounts for over 22% of the expenditures (line"</f>
        <v>This line item accounts for over 22% of the expenditures (line</v>
      </c>
      <c r="B286" s="19"/>
      <c r="C286" s="19"/>
      <c r="D286" s="19"/>
      <c r="E286" s="19"/>
      <c r="F286" s="19"/>
      <c r="G286" s="19"/>
      <c r="H286" s="19"/>
    </row>
    <row r="287" spans="1:8" s="2" customFormat="1" ht="12.75">
      <c r="A287" s="19" t="str">
        <f>"4.500) and is the most volatile. The District has limited ability to"</f>
        <v>4.500) and is the most volatile. The District has limited ability to</v>
      </c>
      <c r="B287" s="19"/>
      <c r="C287" s="19"/>
      <c r="D287" s="19"/>
      <c r="E287" s="19"/>
      <c r="F287" s="19"/>
      <c r="G287" s="19"/>
      <c r="H287" s="19"/>
    </row>
    <row r="288" spans="1:8" s="2" customFormat="1" ht="12.75">
      <c r="A288" s="19" t="str">
        <f>"contain many of the items in this category and expenditures such"</f>
        <v>contain many of the items in this category and expenditures such</v>
      </c>
      <c r="B288" s="19"/>
      <c r="C288" s="19"/>
      <c r="D288" s="19"/>
      <c r="E288" s="19"/>
      <c r="F288" s="19"/>
      <c r="G288" s="19"/>
      <c r="H288" s="19"/>
    </row>
    <row r="289" spans="1:8" s="2" customFormat="1" ht="12.75">
      <c r="A289" s="19" t="str">
        <f>"as special education and community school students can vary"</f>
        <v>as special education and community school students can vary</v>
      </c>
      <c r="B289" s="19"/>
      <c r="C289" s="19"/>
      <c r="D289" s="19"/>
      <c r="E289" s="19"/>
      <c r="F289" s="19"/>
      <c r="G289" s="19"/>
      <c r="H289" s="19"/>
    </row>
    <row r="290" spans="1:8" s="2" customFormat="1" ht="12.75">
      <c r="A290" s="19" t="str">
        <f>"widely from year to year."</f>
        <v>widely from year to year.</v>
      </c>
      <c r="B290" s="19"/>
      <c r="C290" s="19"/>
      <c r="D290" s="19"/>
      <c r="E290" s="19"/>
      <c r="F290" s="19"/>
      <c r="G290" s="19"/>
      <c r="H290" s="19"/>
    </row>
    <row r="291" s="2" customFormat="1" ht="12.75"/>
    <row r="292" s="2" customFormat="1" ht="12.75">
      <c r="A292" s="4"/>
    </row>
    <row r="293" spans="1:8" s="2" customFormat="1" ht="12.75">
      <c r="A293" s="19" t="str">
        <f>"The three largest expenditures, which make up almost 66% of this"</f>
        <v>The three largest expenditures, which make up almost 66% of this</v>
      </c>
      <c r="B293" s="19"/>
      <c r="C293" s="19"/>
      <c r="D293" s="19"/>
      <c r="E293" s="19"/>
      <c r="F293" s="19"/>
      <c r="G293" s="19"/>
      <c r="H293" s="19"/>
    </row>
    <row r="294" spans="1:8" s="2" customFormat="1" ht="12.75">
      <c r="A294" s="19" t="str">
        <f>"line item, are:"</f>
        <v>line item, are:</v>
      </c>
      <c r="B294" s="19"/>
      <c r="C294" s="19"/>
      <c r="D294" s="19"/>
      <c r="E294" s="19"/>
      <c r="F294" s="19"/>
      <c r="G294" s="19"/>
      <c r="H294" s="19"/>
    </row>
    <row r="295" s="2" customFormat="1" ht="12.75"/>
    <row r="296" s="2" customFormat="1" ht="12.75">
      <c r="A296" s="4"/>
    </row>
    <row r="297" spans="1:8" s="2" customFormat="1" ht="12.75">
      <c r="A297" s="19" t="str">
        <f>"*Community school and open enrollment"</f>
        <v>*Community school and open enrollment</v>
      </c>
      <c r="B297" s="19"/>
      <c r="C297" s="19"/>
      <c r="D297" s="19"/>
      <c r="E297" s="19"/>
      <c r="F297" s="19"/>
      <c r="G297" s="19"/>
      <c r="H297" s="19"/>
    </row>
    <row r="298" spans="1:8" s="2" customFormat="1" ht="12.75">
      <c r="A298" s="19" t="str">
        <f>"students leaving the district"</f>
        <v>students leaving the district</v>
      </c>
      <c r="B298" s="19"/>
      <c r="C298" s="19"/>
      <c r="D298" s="19"/>
      <c r="E298" s="19"/>
      <c r="F298" s="19"/>
      <c r="G298" s="19"/>
      <c r="H298" s="19"/>
    </row>
    <row r="299" spans="1:8" s="2" customFormat="1" ht="12.75">
      <c r="A299" s="19" t="str">
        <f>"$4.2M"</f>
        <v>$4.2M</v>
      </c>
      <c r="B299" s="19"/>
      <c r="C299" s="19"/>
      <c r="D299" s="19"/>
      <c r="E299" s="19"/>
      <c r="F299" s="19"/>
      <c r="G299" s="19"/>
      <c r="H299" s="19"/>
    </row>
    <row r="300" spans="1:8" s="2" customFormat="1" ht="12.75">
      <c r="A300" s="19" t="str">
        <f>"*Special education tuition and related services"</f>
        <v>*Special education tuition and related services</v>
      </c>
      <c r="B300" s="19"/>
      <c r="C300" s="19"/>
      <c r="D300" s="19"/>
      <c r="E300" s="19"/>
      <c r="F300" s="19"/>
      <c r="G300" s="19"/>
      <c r="H300" s="19"/>
    </row>
    <row r="301" spans="1:8" s="2" customFormat="1" ht="12.75">
      <c r="A301" s="19" t="str">
        <f>"$2.0M"</f>
        <v>$2.0M</v>
      </c>
      <c r="B301" s="19"/>
      <c r="C301" s="19"/>
      <c r="D301" s="19"/>
      <c r="E301" s="19"/>
      <c r="F301" s="19"/>
      <c r="G301" s="19"/>
      <c r="H301" s="19"/>
    </row>
    <row r="302" spans="1:8" s="2" customFormat="1" ht="12.75">
      <c r="A302" s="19" t="str">
        <f>"*Utilities (including phone)"</f>
        <v>*Utilities (including phone)</v>
      </c>
      <c r="B302" s="19"/>
      <c r="C302" s="19"/>
      <c r="D302" s="19"/>
      <c r="E302" s="19"/>
      <c r="F302" s="19"/>
      <c r="G302" s="19"/>
      <c r="H302" s="19"/>
    </row>
    <row r="303" spans="1:8" s="2" customFormat="1" ht="12.75">
      <c r="A303" s="19" t="str">
        <f>"$1.9M"</f>
        <v>$1.9M</v>
      </c>
      <c r="B303" s="19"/>
      <c r="C303" s="19"/>
      <c r="D303" s="19"/>
      <c r="E303" s="19"/>
      <c r="F303" s="19"/>
      <c r="G303" s="19"/>
      <c r="H303" s="19"/>
    </row>
    <row r="304" spans="1:8" s="2" customFormat="1" ht="12.75">
      <c r="A304" s="19" t="str">
        <f>"*Security"</f>
        <v>*Security</v>
      </c>
      <c r="B304" s="19"/>
      <c r="C304" s="19"/>
      <c r="D304" s="19"/>
      <c r="E304" s="19"/>
      <c r="F304" s="19"/>
      <c r="G304" s="19"/>
      <c r="H304" s="19"/>
    </row>
    <row r="305" spans="1:8" s="2" customFormat="1" ht="12.75">
      <c r="A305" s="19" t="str">
        <f>"$.7M"</f>
        <v>$.7M</v>
      </c>
      <c r="B305" s="19"/>
      <c r="C305" s="19"/>
      <c r="D305" s="19"/>
      <c r="E305" s="19"/>
      <c r="F305" s="19"/>
      <c r="G305" s="19"/>
      <c r="H305" s="19"/>
    </row>
    <row r="306" s="2" customFormat="1" ht="12.75"/>
    <row r="307" s="2" customFormat="1" ht="12.75">
      <c r="A307" s="4"/>
    </row>
    <row r="308" spans="1:8" s="2" customFormat="1" ht="12.75">
      <c r="A308" s="19" t="str">
        <f>"Supplies and Materials (line 3.040)"</f>
        <v>Supplies and Materials (line 3.040)</v>
      </c>
      <c r="B308" s="19"/>
      <c r="C308" s="19"/>
      <c r="D308" s="19"/>
      <c r="E308" s="19"/>
      <c r="F308" s="19"/>
      <c r="G308" s="19"/>
      <c r="H308" s="19"/>
    </row>
    <row r="309" s="2" customFormat="1" ht="12.75"/>
    <row r="310" s="2" customFormat="1" ht="12.75">
      <c r="A310" s="4"/>
    </row>
    <row r="311" spans="1:8" s="2" customFormat="1" ht="12.75">
      <c r="A311" s="19" t="str">
        <f>"Materials and supplies are estimated at $1.9M for FY2014 and"</f>
        <v>Materials and supplies are estimated at $1.9M for FY2014 and</v>
      </c>
      <c r="B311" s="19"/>
      <c r="C311" s="19"/>
      <c r="D311" s="19"/>
      <c r="E311" s="19"/>
      <c r="F311" s="19"/>
      <c r="G311" s="19"/>
      <c r="H311" s="19"/>
    </row>
    <row r="312" spans="1:8" s="2" customFormat="1" ht="12.75">
      <c r="A312" s="19" t="str">
        <f>"account for 3% of the expenditures. This line item includes"</f>
        <v>account for 3% of the expenditures. This line item includes</v>
      </c>
      <c r="B312" s="19"/>
      <c r="C312" s="19"/>
      <c r="D312" s="19"/>
      <c r="E312" s="19"/>
      <c r="F312" s="19"/>
      <c r="G312" s="19"/>
      <c r="H312" s="19"/>
    </row>
    <row r="313" spans="1:8" s="2" customFormat="1" ht="12.75">
      <c r="A313" s="19" t="str">
        <f>"instructional supplies, maintenance supplies, and bus fuel."</f>
        <v>instructional supplies, maintenance supplies, and bus fuel.</v>
      </c>
      <c r="B313" s="19"/>
      <c r="C313" s="19"/>
      <c r="D313" s="19"/>
      <c r="E313" s="19"/>
      <c r="F313" s="19"/>
      <c r="G313" s="19"/>
      <c r="H313" s="19"/>
    </row>
    <row r="314" s="2" customFormat="1" ht="12.75"/>
    <row r="315" s="2" customFormat="1" ht="12.75">
      <c r="A315" s="4"/>
    </row>
    <row r="316" spans="1:8" s="2" customFormat="1" ht="12.75">
      <c r="A316" s="19" t="str">
        <f>"Capital Outlay (line 3.050)"</f>
        <v>Capital Outlay (line 3.050)</v>
      </c>
      <c r="B316" s="19"/>
      <c r="C316" s="19"/>
      <c r="D316" s="19"/>
      <c r="E316" s="19"/>
      <c r="F316" s="19"/>
      <c r="G316" s="19"/>
      <c r="H316" s="19"/>
    </row>
    <row r="317" s="2" customFormat="1" ht="12.75"/>
    <row r="318" s="2" customFormat="1" ht="12.75">
      <c r="A318" s="4"/>
    </row>
    <row r="319" spans="1:8" s="2" customFormat="1" ht="12.75">
      <c r="A319" s="19" t="str">
        <f>"Capital outlay is a relatively small part of the District?s operating"</f>
        <v>Capital outlay is a relatively small part of the District?s operating</v>
      </c>
      <c r="B319" s="19"/>
      <c r="C319" s="19"/>
      <c r="D319" s="19"/>
      <c r="E319" s="19"/>
      <c r="F319" s="19"/>
      <c r="G319" s="19"/>
      <c r="H319" s="19"/>
    </row>
    <row r="320" spans="1:8" s="2" customFormat="1" ht="12.75">
      <c r="A320" s="19" t="str">
        <f>"budget, accounting for less than 1%. The District has been able to"</f>
        <v>budget, accounting for less than 1%. The District has been able to</v>
      </c>
      <c r="B320" s="19"/>
      <c r="C320" s="19"/>
      <c r="D320" s="19"/>
      <c r="E320" s="19"/>
      <c r="F320" s="19"/>
      <c r="G320" s="19"/>
      <c r="H320" s="19"/>
    </row>
    <row r="321" spans="1:8" s="2" customFormat="1" ht="12.75">
      <c r="A321" s="19" t="str">
        <f>"keep these expenditures low due to a permanent improvement levy,"</f>
        <v>keep these expenditures low due to a permanent improvement levy,</v>
      </c>
      <c r="B321" s="19"/>
      <c r="C321" s="19"/>
      <c r="D321" s="19"/>
      <c r="E321" s="19"/>
      <c r="F321" s="19"/>
      <c r="G321" s="19"/>
      <c r="H321" s="19"/>
    </row>
    <row r="322" spans="1:8" s="2" customFormat="1" ht="12.75">
      <c r="A322" s="19" t="str">
        <f>"bond levy, and maintenance levy. In December 2011, the"</f>
        <v>bond levy, and maintenance levy. In December 2011, the</v>
      </c>
      <c r="B322" s="19"/>
      <c r="C322" s="19"/>
      <c r="D322" s="19"/>
      <c r="E322" s="19"/>
      <c r="F322" s="19"/>
      <c r="G322" s="19"/>
      <c r="H322" s="19"/>
    </row>
    <row r="323" spans="1:8" s="2" customFormat="1" ht="12.75">
      <c r="A323" s="19" t="str">
        <f>"permanent improvement levy expired and was not renewed."</f>
        <v>permanent improvement levy expired and was not renewed.</v>
      </c>
      <c r="B323" s="19"/>
      <c r="C323" s="19"/>
      <c r="D323" s="19"/>
      <c r="E323" s="19"/>
      <c r="F323" s="19"/>
      <c r="G323" s="19"/>
      <c r="H323" s="19"/>
    </row>
    <row r="324" spans="1:8" s="2" customFormat="1" ht="12.75">
      <c r="A324" s="19" t="str">
        <f>"Proceeds from the bond levy and maintenance levy will be used to"</f>
        <v>Proceeds from the bond levy and maintenance levy will be used to</v>
      </c>
      <c r="B324" s="19"/>
      <c r="C324" s="19"/>
      <c r="D324" s="19"/>
      <c r="E324" s="19"/>
      <c r="F324" s="19"/>
      <c r="G324" s="19"/>
      <c r="H324" s="19"/>
    </row>
    <row r="325" spans="1:8" s="2" customFormat="1" ht="12.75">
      <c r="A325" s="19" t="str">
        <f>"meet the District?s permanent improvement needs for the next few"</f>
        <v>meet the District?s permanent improvement needs for the next few</v>
      </c>
      <c r="B325" s="19"/>
      <c r="C325" s="19"/>
      <c r="D325" s="19"/>
      <c r="E325" s="19"/>
      <c r="F325" s="19"/>
      <c r="G325" s="19"/>
      <c r="H325" s="19"/>
    </row>
    <row r="326" spans="1:8" s="2" customFormat="1" ht="12.75">
      <c r="A326" s="19" t="str">
        <f>"years."</f>
        <v>years.</v>
      </c>
      <c r="B326" s="19"/>
      <c r="C326" s="19"/>
      <c r="D326" s="19"/>
      <c r="E326" s="19"/>
      <c r="F326" s="19"/>
      <c r="G326" s="19"/>
      <c r="H326" s="19"/>
    </row>
    <row r="327" s="2" customFormat="1" ht="12.75"/>
    <row r="328" s="2" customFormat="1" ht="12.75">
      <c r="A328" s="4"/>
    </row>
    <row r="329" spans="1:8" s="2" customFormat="1" ht="12.75">
      <c r="A329" s="19" t="str">
        <f>"Other Expenditures (line 4.300)"</f>
        <v>Other Expenditures (line 4.300)</v>
      </c>
      <c r="B329" s="19"/>
      <c r="C329" s="19"/>
      <c r="D329" s="19"/>
      <c r="E329" s="19"/>
      <c r="F329" s="19"/>
      <c r="G329" s="19"/>
      <c r="H329" s="19"/>
    </row>
    <row r="330" s="2" customFormat="1" ht="12.75"/>
    <row r="331" s="2" customFormat="1" ht="12.75">
      <c r="A331" s="4"/>
    </row>
    <row r="332" spans="1:8" s="2" customFormat="1" ht="12.75">
      <c r="A332" s="19" t="str">
        <f>"Other expenditures include, among other things, fees paid to the"</f>
        <v>Other expenditures include, among other things, fees paid to the</v>
      </c>
      <c r="B332" s="19"/>
      <c r="C332" s="19"/>
      <c r="D332" s="19"/>
      <c r="E332" s="19"/>
      <c r="F332" s="19"/>
      <c r="G332" s="19"/>
      <c r="H332" s="19"/>
    </row>
    <row r="333" spans="1:8" s="2" customFormat="1" ht="12.75">
      <c r="A333" s="19" t="str">
        <f>"county auditor and treasurer to collect the District?s property taxes,"</f>
        <v>county auditor and treasurer to collect the District?s property taxes,</v>
      </c>
      <c r="B333" s="19"/>
      <c r="C333" s="19"/>
      <c r="D333" s="19"/>
      <c r="E333" s="19"/>
      <c r="F333" s="19"/>
      <c r="G333" s="19"/>
      <c r="H333" s="19"/>
    </row>
    <row r="334" spans="1:8" s="2" customFormat="1" ht="12.75">
      <c r="A334" s="19" t="str">
        <f>"membership fees and the cost of the annual audit."</f>
        <v>membership fees and the cost of the annual audit.</v>
      </c>
      <c r="B334" s="19"/>
      <c r="C334" s="19"/>
      <c r="D334" s="19"/>
      <c r="E334" s="19"/>
      <c r="F334" s="19"/>
      <c r="G334" s="19"/>
      <c r="H334" s="19"/>
    </row>
    <row r="335" s="2" customFormat="1" ht="12.75"/>
    <row r="336" s="2" customFormat="1" ht="12.75">
      <c r="A336" s="4"/>
    </row>
    <row r="337" spans="1:8" s="2" customFormat="1" ht="12.75">
      <c r="A337" s="19" t="str">
        <f>"Operating Transfers Out (line 5.010)"</f>
        <v>Operating Transfers Out (line 5.010)</v>
      </c>
      <c r="B337" s="19"/>
      <c r="C337" s="19"/>
      <c r="D337" s="19"/>
      <c r="E337" s="19"/>
      <c r="F337" s="19"/>
      <c r="G337" s="19"/>
      <c r="H337" s="19"/>
    </row>
    <row r="338" s="2" customFormat="1" ht="12.75"/>
    <row r="339" s="2" customFormat="1" ht="12.75">
      <c r="A339" s="4"/>
    </row>
    <row r="340" spans="1:8" s="2" customFormat="1" ht="12.75">
      <c r="A340" s="19" t="str">
        <f>"In FY2014 the forecast includes the following transfers:"</f>
        <v>In FY2014 the forecast includes the following transfers:</v>
      </c>
      <c r="B340" s="19"/>
      <c r="C340" s="19"/>
      <c r="D340" s="19"/>
      <c r="E340" s="19"/>
      <c r="F340" s="19"/>
      <c r="G340" s="19"/>
      <c r="H340" s="19"/>
    </row>
    <row r="341" spans="1:8" s="2" customFormat="1" ht="12.75">
      <c r="A341" s="19" t="str">
        <f>"*$1,080,000 to the Permanent Improvement Fund to"</f>
        <v>*$1,080,000 to the Permanent Improvement Fund to</v>
      </c>
      <c r="B341" s="19"/>
      <c r="C341" s="19"/>
      <c r="D341" s="19"/>
      <c r="E341" s="19"/>
      <c r="F341" s="19"/>
      <c r="G341" s="19"/>
      <c r="H341" s="19"/>
    </row>
    <row r="342" spans="1:8" s="2" customFormat="1" ht="12.75">
      <c r="A342" s="19" t="str">
        <f>"purchase 3 busses per year in accordance with the bus"</f>
        <v>purchase 3 busses per year in accordance with the bus</v>
      </c>
      <c r="B342" s="19"/>
      <c r="C342" s="19"/>
      <c r="D342" s="19"/>
      <c r="E342" s="19"/>
      <c r="F342" s="19"/>
      <c r="G342" s="19"/>
      <c r="H342" s="19"/>
    </row>
    <row r="343" spans="1:8" s="2" customFormat="1" ht="12.75">
      <c r="A343" s="19" t="str">
        <f>"replacement plan."</f>
        <v>replacement plan.</v>
      </c>
      <c r="B343" s="19"/>
      <c r="C343" s="19"/>
      <c r="D343" s="19"/>
      <c r="E343" s="19"/>
      <c r="F343" s="19"/>
      <c r="G343" s="19"/>
      <c r="H343" s="19"/>
    </row>
    <row r="344" spans="1:8" s="2" customFormat="1" ht="12.75">
      <c r="A344" s="19" t="str">
        <f>"*$4,900,000 to the Technology Capital Outlay Fund to fund"</f>
        <v>*$4,900,000 to the Technology Capital Outlay Fund to fund</v>
      </c>
      <c r="B344" s="19"/>
      <c r="C344" s="19"/>
      <c r="D344" s="19"/>
      <c r="E344" s="19"/>
      <c r="F344" s="19"/>
      <c r="G344" s="19"/>
      <c r="H344" s="19"/>
    </row>
    <row r="345" spans="1:8" s="2" customFormat="1" ht="12.75">
      <c r="A345" s="19" t="str">
        <f>"technology equipment and infrastructure per the technology"</f>
        <v>technology equipment and infrastructure per the technology</v>
      </c>
      <c r="B345" s="19"/>
      <c r="C345" s="19"/>
      <c r="D345" s="19"/>
      <c r="E345" s="19"/>
      <c r="F345" s="19"/>
      <c r="G345" s="19"/>
      <c r="H345" s="19"/>
    </row>
    <row r="346" spans="1:8" s="2" customFormat="1" ht="12.75">
      <c r="A346" s="19" t="str">
        <f>"plan."</f>
        <v>plan.</v>
      </c>
      <c r="B346" s="19"/>
      <c r="C346" s="19"/>
      <c r="D346" s="19"/>
      <c r="E346" s="19"/>
      <c r="F346" s="19"/>
      <c r="G346" s="19"/>
      <c r="H346" s="19"/>
    </row>
    <row r="347" spans="1:8" s="2" customFormat="1" ht="12.75">
      <c r="A347" s="19" t="str">
        <f>"*$12,827 to the LPDC Fund per the negotiated agreement."</f>
        <v>*$12,827 to the LPDC Fund per the negotiated agreement.</v>
      </c>
      <c r="B347" s="19"/>
      <c r="C347" s="19"/>
      <c r="D347" s="19"/>
      <c r="E347" s="19"/>
      <c r="F347" s="19"/>
      <c r="G347" s="19"/>
      <c r="H347" s="19"/>
    </row>
    <row r="348" s="2" customFormat="1" ht="12.75"/>
    <row r="349" s="2" customFormat="1" ht="12.75">
      <c r="A349" s="4"/>
    </row>
    <row r="350" spans="1:8" s="2" customFormat="1" ht="12.75">
      <c r="A350" s="19" t="str">
        <f>"Advances Out (line 5.020)"</f>
        <v>Advances Out (line 5.020)</v>
      </c>
      <c r="B350" s="19"/>
      <c r="C350" s="19"/>
      <c r="D350" s="19"/>
      <c r="E350" s="19"/>
      <c r="F350" s="19"/>
      <c r="G350" s="19"/>
      <c r="H350" s="19"/>
    </row>
    <row r="351" s="2" customFormat="1" ht="12.75"/>
    <row r="352" s="2" customFormat="1" ht="12.75">
      <c r="A352" s="4"/>
    </row>
    <row r="353" spans="1:8" s="2" customFormat="1" ht="12.75">
      <c r="A353" s="19" t="str">
        <f>"In FY2014 the forecast includes the following advances to other"</f>
        <v>In FY2014 the forecast includes the following advances to other</v>
      </c>
      <c r="B353" s="19"/>
      <c r="C353" s="19"/>
      <c r="D353" s="19"/>
      <c r="E353" s="19"/>
      <c r="F353" s="19"/>
      <c r="G353" s="19"/>
      <c r="H353" s="19"/>
    </row>
    <row r="354" spans="1:8" s="2" customFormat="1" ht="12.75">
      <c r="A354" s="19" t="str">
        <f>"funds:"</f>
        <v>funds:</v>
      </c>
      <c r="B354" s="19"/>
      <c r="C354" s="19"/>
      <c r="D354" s="19"/>
      <c r="E354" s="19"/>
      <c r="F354" s="19"/>
      <c r="G354" s="19"/>
      <c r="H354" s="19"/>
    </row>
    <row r="355" spans="1:8" s="2" customFormat="1" ht="12.75">
      <c r="A355" s="19" t="str">
        <f>"*$65,000 to the federal grants. This will be re-paid in June"</f>
        <v>*$65,000 to the federal grants. This will be re-paid in June</v>
      </c>
      <c r="B355" s="19"/>
      <c r="C355" s="19"/>
      <c r="D355" s="19"/>
      <c r="E355" s="19"/>
      <c r="F355" s="19"/>
      <c r="G355" s="19"/>
      <c r="H355" s="19"/>
    </row>
    <row r="356" spans="1:8" s="2" customFormat="1" ht="12.75">
      <c r="A356" s="19" t="str">
        <f>"2014."</f>
        <v>2014.</v>
      </c>
      <c r="B356" s="19"/>
      <c r="C356" s="19"/>
      <c r="D356" s="19"/>
      <c r="E356" s="19"/>
      <c r="F356" s="19"/>
      <c r="G356" s="19"/>
      <c r="H356" s="19"/>
    </row>
    <row r="357" spans="1:8" s="2" customFormat="1" ht="12.75">
      <c r="A357" s="19" t="str">
        <f>"*$58,305 to R-Designs and Sportswear. This is scheduled to"</f>
        <v>*$58,305 to R-Designs and Sportswear. This is scheduled to</v>
      </c>
      <c r="B357" s="19"/>
      <c r="C357" s="19"/>
      <c r="D357" s="19"/>
      <c r="E357" s="19"/>
      <c r="F357" s="19"/>
      <c r="G357" s="19"/>
      <c r="H357" s="19"/>
    </row>
    <row r="358" spans="1:8" s="2" customFormat="1" ht="12.75">
      <c r="A358" s="19" t="str">
        <f>"be re-paid in the next year."</f>
        <v>be re-paid in the next year.</v>
      </c>
      <c r="B358" s="19"/>
      <c r="C358" s="19"/>
      <c r="D358" s="19"/>
      <c r="E358" s="19"/>
      <c r="F358" s="19"/>
      <c r="G358" s="19"/>
      <c r="H358" s="19"/>
    </row>
    <row r="359" spans="1:8" s="2" customFormat="1" ht="12.75">
      <c r="A359" s="19" t="str">
        <f>"*$12,000 to the STEM Equity grant. This is a reimbursable"</f>
        <v>*$12,000 to the STEM Equity grant. This is a reimbursable</v>
      </c>
      <c r="B359" s="19"/>
      <c r="C359" s="19"/>
      <c r="D359" s="19"/>
      <c r="E359" s="19"/>
      <c r="F359" s="19"/>
      <c r="G359" s="19"/>
      <c r="H359" s="19"/>
    </row>
    <row r="360" spans="1:8" s="2" customFormat="1" ht="12.75">
      <c r="A360" s="19" t="str">
        <f>"grant. Once grant funds are received, this will be re-paid."</f>
        <v>grant. Once grant funds are received, this will be re-paid.</v>
      </c>
      <c r="B360" s="19"/>
      <c r="C360" s="19"/>
      <c r="D360" s="19"/>
      <c r="E360" s="19"/>
      <c r="F360" s="19"/>
      <c r="G360" s="19"/>
      <c r="H360" s="19"/>
    </row>
    <row r="361" s="2" customFormat="1" ht="12.75"/>
    <row r="362" s="2" customFormat="1" ht="12.75">
      <c r="A362" s="4"/>
    </row>
    <row r="363" spans="1:8" s="2" customFormat="1" ht="12.75">
      <c r="A363" s="19" t="str">
        <f>"All Other Financing Uses (line 5.030)"</f>
        <v>All Other Financing Uses (line 5.030)</v>
      </c>
      <c r="B363" s="19"/>
      <c r="C363" s="19"/>
      <c r="D363" s="19"/>
      <c r="E363" s="19"/>
      <c r="F363" s="19"/>
      <c r="G363" s="19"/>
      <c r="H363" s="19"/>
    </row>
    <row r="364" s="2" customFormat="1" ht="12.75"/>
    <row r="365" s="2" customFormat="1" ht="12.75">
      <c r="A365" s="4"/>
    </row>
    <row r="366" spans="1:8" s="2" customFormat="1" ht="12.75">
      <c r="A366" s="19" t="str">
        <f>"In FY2014 the District paid $1.2M to Licking Heights School"</f>
        <v>In FY2014 the District paid $1.2M to Licking Heights School</v>
      </c>
      <c r="B366" s="19"/>
      <c r="C366" s="19"/>
      <c r="D366" s="19"/>
      <c r="E366" s="19"/>
      <c r="F366" s="19"/>
      <c r="G366" s="19"/>
      <c r="H366" s="19"/>
    </row>
    <row r="367" spans="1:8" s="2" customFormat="1" ht="12.75">
      <c r="A367" s="19" t="str">
        <f>"District as part of a revenue sharing agreement for Tax Years"</f>
        <v>District as part of a revenue sharing agreement for Tax Years</v>
      </c>
      <c r="B367" s="19"/>
      <c r="C367" s="19"/>
      <c r="D367" s="19"/>
      <c r="E367" s="19"/>
      <c r="F367" s="19"/>
      <c r="G367" s="19"/>
      <c r="H367" s="19"/>
    </row>
    <row r="368" spans="1:8" s="2" customFormat="1" ht="12.75">
      <c r="A368" s="19" t="str">
        <f>"2001-2006. The forecast includes an estimated payment of"</f>
        <v>2001-2006. The forecast includes an estimated payment of</v>
      </c>
      <c r="B368" s="19"/>
      <c r="C368" s="19"/>
      <c r="D368" s="19"/>
      <c r="E368" s="19"/>
      <c r="F368" s="19"/>
      <c r="G368" s="19"/>
      <c r="H368" s="19"/>
    </row>
    <row r="369" spans="1:8" s="2" customFormat="1" ht="12.75">
      <c r="A369" s="19" t="str">
        <f>"$500,000 in FY2015 for TY2007-TY2012. An estimate of"</f>
        <v>$500,000 in FY2015 for TY2007-TY2012. An estimate of</v>
      </c>
      <c r="B369" s="19"/>
      <c r="C369" s="19"/>
      <c r="D369" s="19"/>
      <c r="E369" s="19"/>
      <c r="F369" s="19"/>
      <c r="G369" s="19"/>
      <c r="H369" s="19"/>
    </row>
    <row r="370" spans="1:8" s="2" customFormat="1" ht="12.75">
      <c r="A370" s="19" t="str">
        <f>"$200,000 annually was used for FY16-FY18."</f>
        <v>$200,000 annually was used for FY16-FY18.</v>
      </c>
      <c r="B370" s="19"/>
      <c r="C370" s="19"/>
      <c r="D370" s="19"/>
      <c r="E370" s="19"/>
      <c r="F370" s="19"/>
      <c r="G370" s="19"/>
      <c r="H370" s="19"/>
    </row>
    <row r="371" spans="1:8" s="2" customFormat="1" ht="12.75">
      <c r="A371" s="19" t="str">
        <f>"Page | 1"</f>
        <v>Page | 1</v>
      </c>
      <c r="B371" s="19"/>
      <c r="C371" s="19"/>
      <c r="D371" s="19"/>
      <c r="E371" s="19"/>
      <c r="F371" s="19"/>
      <c r="G371" s="19"/>
      <c r="H371" s="19"/>
    </row>
    <row r="372" s="2" customFormat="1" ht="12.75"/>
    <row r="373" s="2" customFormat="1" ht="12.75">
      <c r="A373" s="4"/>
    </row>
  </sheetData>
  <mergeCells count="215">
    <mergeCell ref="A369:H369"/>
    <mergeCell ref="A370:H370"/>
    <mergeCell ref="A371:H371"/>
    <mergeCell ref="A363:H363"/>
    <mergeCell ref="A366:H366"/>
    <mergeCell ref="A367:H367"/>
    <mergeCell ref="A368:H368"/>
    <mergeCell ref="A357:H357"/>
    <mergeCell ref="A358:H358"/>
    <mergeCell ref="A359:H359"/>
    <mergeCell ref="A360:H360"/>
    <mergeCell ref="A353:H353"/>
    <mergeCell ref="A354:H354"/>
    <mergeCell ref="A355:H355"/>
    <mergeCell ref="A356:H356"/>
    <mergeCell ref="A345:H345"/>
    <mergeCell ref="A346:H346"/>
    <mergeCell ref="A347:H347"/>
    <mergeCell ref="A350:H350"/>
    <mergeCell ref="A341:H341"/>
    <mergeCell ref="A342:H342"/>
    <mergeCell ref="A343:H343"/>
    <mergeCell ref="A344:H344"/>
    <mergeCell ref="A333:H333"/>
    <mergeCell ref="A334:H334"/>
    <mergeCell ref="A337:H337"/>
    <mergeCell ref="A340:H340"/>
    <mergeCell ref="A325:H325"/>
    <mergeCell ref="A326:H326"/>
    <mergeCell ref="A329:H329"/>
    <mergeCell ref="A332:H332"/>
    <mergeCell ref="A321:H321"/>
    <mergeCell ref="A322:H322"/>
    <mergeCell ref="A323:H323"/>
    <mergeCell ref="A324:H324"/>
    <mergeCell ref="A313:H313"/>
    <mergeCell ref="A316:H316"/>
    <mergeCell ref="A319:H319"/>
    <mergeCell ref="A320:H320"/>
    <mergeCell ref="A305:H305"/>
    <mergeCell ref="A308:H308"/>
    <mergeCell ref="A311:H311"/>
    <mergeCell ref="A312:H312"/>
    <mergeCell ref="A301:H301"/>
    <mergeCell ref="A302:H302"/>
    <mergeCell ref="A303:H303"/>
    <mergeCell ref="A304:H304"/>
    <mergeCell ref="A297:H297"/>
    <mergeCell ref="A298:H298"/>
    <mergeCell ref="A299:H299"/>
    <mergeCell ref="A300:H300"/>
    <mergeCell ref="A289:H289"/>
    <mergeCell ref="A290:H290"/>
    <mergeCell ref="A293:H293"/>
    <mergeCell ref="A294:H294"/>
    <mergeCell ref="A285:H285"/>
    <mergeCell ref="A286:H286"/>
    <mergeCell ref="A287:H287"/>
    <mergeCell ref="A288:H288"/>
    <mergeCell ref="A281:H281"/>
    <mergeCell ref="A282:H282"/>
    <mergeCell ref="A283:H283"/>
    <mergeCell ref="A284:H284"/>
    <mergeCell ref="A273:H273"/>
    <mergeCell ref="A274:H274"/>
    <mergeCell ref="A275:H275"/>
    <mergeCell ref="A278:H278"/>
    <mergeCell ref="A267:H267"/>
    <mergeCell ref="A268:H268"/>
    <mergeCell ref="A271:H271"/>
    <mergeCell ref="A272:H272"/>
    <mergeCell ref="A259:H259"/>
    <mergeCell ref="A262:H262"/>
    <mergeCell ref="A263:H263"/>
    <mergeCell ref="A264:H264"/>
    <mergeCell ref="A255:H255"/>
    <mergeCell ref="A256:H256"/>
    <mergeCell ref="A257:H257"/>
    <mergeCell ref="A258:H258"/>
    <mergeCell ref="A249:H249"/>
    <mergeCell ref="A250:H250"/>
    <mergeCell ref="A253:H253"/>
    <mergeCell ref="A254:H254"/>
    <mergeCell ref="A245:H245"/>
    <mergeCell ref="A246:H246"/>
    <mergeCell ref="A247:H247"/>
    <mergeCell ref="A248:H248"/>
    <mergeCell ref="A237:H237"/>
    <mergeCell ref="A238:H238"/>
    <mergeCell ref="A241:H241"/>
    <mergeCell ref="A244:H244"/>
    <mergeCell ref="A227:H227"/>
    <mergeCell ref="A228:H228"/>
    <mergeCell ref="A231:H231"/>
    <mergeCell ref="A234:H234"/>
    <mergeCell ref="A221:H221"/>
    <mergeCell ref="A222:H222"/>
    <mergeCell ref="A223:H223"/>
    <mergeCell ref="A226:H226"/>
    <mergeCell ref="A215:H215"/>
    <mergeCell ref="A216:H216"/>
    <mergeCell ref="A219:H219"/>
    <mergeCell ref="A220:H220"/>
    <mergeCell ref="A207:H207"/>
    <mergeCell ref="A210:H210"/>
    <mergeCell ref="A213:H213"/>
    <mergeCell ref="A214:H214"/>
    <mergeCell ref="A201:H201"/>
    <mergeCell ref="A204:H204"/>
    <mergeCell ref="A205:H205"/>
    <mergeCell ref="A206:H206"/>
    <mergeCell ref="A195:H195"/>
    <mergeCell ref="A196:H196"/>
    <mergeCell ref="A197:H197"/>
    <mergeCell ref="A198:H198"/>
    <mergeCell ref="A187:H187"/>
    <mergeCell ref="A188:H188"/>
    <mergeCell ref="A189:H189"/>
    <mergeCell ref="A192:H192"/>
    <mergeCell ref="A179:H179"/>
    <mergeCell ref="A180:H180"/>
    <mergeCell ref="A183:H183"/>
    <mergeCell ref="A186:H186"/>
    <mergeCell ref="A175:H175"/>
    <mergeCell ref="A176:H176"/>
    <mergeCell ref="A177:H177"/>
    <mergeCell ref="A178:H178"/>
    <mergeCell ref="A169:H169"/>
    <mergeCell ref="A170:H170"/>
    <mergeCell ref="A171:H171"/>
    <mergeCell ref="A174:H174"/>
    <mergeCell ref="A163:H163"/>
    <mergeCell ref="A166:H166"/>
    <mergeCell ref="A167:H167"/>
    <mergeCell ref="A168:H168"/>
    <mergeCell ref="A155:H155"/>
    <mergeCell ref="A158:H158"/>
    <mergeCell ref="A159:H159"/>
    <mergeCell ref="A160:H160"/>
    <mergeCell ref="A149:H149"/>
    <mergeCell ref="A150:H150"/>
    <mergeCell ref="A151:H151"/>
    <mergeCell ref="A152:H152"/>
    <mergeCell ref="A143:H143"/>
    <mergeCell ref="A146:H146"/>
    <mergeCell ref="A147:H147"/>
    <mergeCell ref="A148:H148"/>
    <mergeCell ref="A137:H137"/>
    <mergeCell ref="A138:H138"/>
    <mergeCell ref="A139:H139"/>
    <mergeCell ref="A140:H140"/>
    <mergeCell ref="A131:H131"/>
    <mergeCell ref="A132:H132"/>
    <mergeCell ref="A133:H133"/>
    <mergeCell ref="A136:H136"/>
    <mergeCell ref="A125:H125"/>
    <mergeCell ref="A126:H126"/>
    <mergeCell ref="A127:H127"/>
    <mergeCell ref="A130:H130"/>
    <mergeCell ref="A121:H121"/>
    <mergeCell ref="A122:H122"/>
    <mergeCell ref="A123:H123"/>
    <mergeCell ref="A124:H124"/>
    <mergeCell ref="A113:H113"/>
    <mergeCell ref="A114:H114"/>
    <mergeCell ref="A115:H115"/>
    <mergeCell ref="A118:H118"/>
    <mergeCell ref="A107:H107"/>
    <mergeCell ref="A108:H108"/>
    <mergeCell ref="A109:H109"/>
    <mergeCell ref="A110:H110"/>
    <mergeCell ref="A101:H101"/>
    <mergeCell ref="A102:H102"/>
    <mergeCell ref="A103:H103"/>
    <mergeCell ref="A106:H106"/>
    <mergeCell ref="A93:H93"/>
    <mergeCell ref="A96:H96"/>
    <mergeCell ref="A99:H99"/>
    <mergeCell ref="A100:H100"/>
    <mergeCell ref="A89:H89"/>
    <mergeCell ref="A90:H90"/>
    <mergeCell ref="A91:H91"/>
    <mergeCell ref="A92:H92"/>
    <mergeCell ref="A83:H83"/>
    <mergeCell ref="A84:H84"/>
    <mergeCell ref="A85:H85"/>
    <mergeCell ref="A88:H88"/>
    <mergeCell ref="A79:H79"/>
    <mergeCell ref="A80:H80"/>
    <mergeCell ref="A81:H81"/>
    <mergeCell ref="A82:H82"/>
    <mergeCell ref="A75:H75"/>
    <mergeCell ref="A76:H76"/>
    <mergeCell ref="A77:H77"/>
    <mergeCell ref="A78:H78"/>
    <mergeCell ref="A69:H69"/>
    <mergeCell ref="A70:H70"/>
    <mergeCell ref="A71:H71"/>
    <mergeCell ref="A72:H72"/>
    <mergeCell ref="A63:H63"/>
    <mergeCell ref="A64:H64"/>
    <mergeCell ref="A67:H67"/>
    <mergeCell ref="A68:H68"/>
    <mergeCell ref="A55:H55"/>
    <mergeCell ref="A58:H58"/>
    <mergeCell ref="A61:H61"/>
    <mergeCell ref="A62:H62"/>
    <mergeCell ref="A51:H51"/>
    <mergeCell ref="A52:H52"/>
    <mergeCell ref="A53:H53"/>
    <mergeCell ref="A54:H54"/>
    <mergeCell ref="A1:I1"/>
    <mergeCell ref="B8:D8"/>
    <mergeCell ref="E8:I8"/>
    <mergeCell ref="A50:H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 topLeftCell="A1">
      <selection activeCell="J6" sqref="J6"/>
    </sheetView>
  </sheetViews>
  <sheetFormatPr defaultColWidth="9.140625" defaultRowHeight="12.75"/>
  <cols>
    <col min="1" max="1" width="29.8515625" style="0" customWidth="1"/>
    <col min="2" max="9" width="10.140625" style="0" customWidth="1"/>
  </cols>
  <sheetData>
    <row r="1" spans="1:9" ht="18" thickBot="1">
      <c r="A1" s="14" t="s">
        <v>5</v>
      </c>
      <c r="B1" s="15"/>
      <c r="C1" s="15"/>
      <c r="D1" s="15"/>
      <c r="E1" s="15"/>
      <c r="F1" s="15"/>
      <c r="G1" s="15"/>
      <c r="H1" s="15"/>
      <c r="I1" s="15"/>
    </row>
    <row r="2" ht="12.75">
      <c r="A2" s="1"/>
    </row>
    <row r="3" s="2" customFormat="1" ht="12.75">
      <c r="A3" s="3" t="str">
        <f>"District Type: City"</f>
        <v>District Type: City</v>
      </c>
    </row>
    <row r="4" s="2" customFormat="1" ht="12.75">
      <c r="A4" s="3" t="str">
        <f>"IRN: 046961"</f>
        <v>IRN: 046961</v>
      </c>
    </row>
    <row r="5" s="2" customFormat="1" ht="12.75">
      <c r="A5" s="3" t="str">
        <f>"County: Franklin "</f>
        <v>County: Franklin </v>
      </c>
    </row>
    <row r="6" spans="1:11" s="2" customFormat="1" ht="12.75">
      <c r="A6" s="3" t="str">
        <f>"Date Submitted: 5/30/2014 Date Processed: 6/4/2014"</f>
        <v>Date Submitted: 5/30/2014 Date Processed: 6/4/2014</v>
      </c>
      <c r="B6" s="3"/>
      <c r="C6" s="3"/>
      <c r="D6" s="3"/>
      <c r="J6" s="5"/>
      <c r="K6" s="5"/>
    </row>
    <row r="7" s="2" customFormat="1" ht="13.5" thickBot="1">
      <c r="A7" s="4"/>
    </row>
    <row r="8" spans="2:9" s="2" customFormat="1" ht="13.5" thickBot="1">
      <c r="B8" s="16" t="s">
        <v>1</v>
      </c>
      <c r="C8" s="17"/>
      <c r="D8" s="18"/>
      <c r="E8" s="16" t="s">
        <v>2</v>
      </c>
      <c r="F8" s="17"/>
      <c r="G8" s="17"/>
      <c r="H8" s="17"/>
      <c r="I8" s="18"/>
    </row>
    <row r="9" spans="1:10" s="2" customFormat="1" ht="13.5" thickBot="1">
      <c r="A9" s="6" t="s">
        <v>3</v>
      </c>
      <c r="B9" s="7">
        <v>2011</v>
      </c>
      <c r="C9" s="7">
        <v>2012</v>
      </c>
      <c r="D9" s="7">
        <v>2013</v>
      </c>
      <c r="E9" s="7">
        <v>2014</v>
      </c>
      <c r="F9" s="7">
        <v>2015</v>
      </c>
      <c r="G9" s="7">
        <v>2016</v>
      </c>
      <c r="H9" s="7">
        <v>2017</v>
      </c>
      <c r="I9" s="7">
        <v>2018</v>
      </c>
      <c r="J9" s="8"/>
    </row>
    <row r="10" spans="1:10" s="2" customFormat="1" ht="12.75">
      <c r="A10" s="2" t="str">
        <f>"1.010 General Property (Real Estate)"</f>
        <v>1.010 General Property (Real Estate)</v>
      </c>
      <c r="B10" s="9">
        <v>44007197</v>
      </c>
      <c r="C10" s="9">
        <v>47023957</v>
      </c>
      <c r="D10" s="9">
        <v>48987227</v>
      </c>
      <c r="E10" s="9">
        <v>49559844</v>
      </c>
      <c r="F10" s="9">
        <v>50358773</v>
      </c>
      <c r="G10" s="9">
        <v>50791000</v>
      </c>
      <c r="H10" s="9">
        <v>51238335</v>
      </c>
      <c r="I10" s="9">
        <v>51840479</v>
      </c>
      <c r="J10" s="20"/>
    </row>
    <row r="11" spans="1:9" s="2" customFormat="1" ht="12.75">
      <c r="A11" s="2" t="str">
        <f>"1.020 Tangible Personal Property Tax"</f>
        <v>1.020 Tangible Personal Property Tax</v>
      </c>
      <c r="B11" s="9">
        <v>1992026</v>
      </c>
      <c r="C11" s="9">
        <v>1895342</v>
      </c>
      <c r="D11" s="9">
        <v>1865181</v>
      </c>
      <c r="E11" s="9">
        <v>1877695</v>
      </c>
      <c r="F11" s="9">
        <v>1960125</v>
      </c>
      <c r="G11" s="9">
        <v>1974145</v>
      </c>
      <c r="H11" s="9">
        <v>1988165</v>
      </c>
      <c r="I11" s="9">
        <v>2002185</v>
      </c>
    </row>
    <row r="12" spans="1:10" s="2" customFormat="1" ht="12.75">
      <c r="A12" s="2" t="str">
        <f>"1.035 Unrestricted Grants-in-Aid"</f>
        <v>1.035 Unrestricted Grants-in-Aid</v>
      </c>
      <c r="B12" s="9">
        <v>10367282</v>
      </c>
      <c r="C12" s="9">
        <v>10374297</v>
      </c>
      <c r="D12" s="9">
        <v>10421083</v>
      </c>
      <c r="E12" s="9">
        <v>11878041</v>
      </c>
      <c r="F12" s="9">
        <v>13048013</v>
      </c>
      <c r="G12" s="9">
        <v>13667816</v>
      </c>
      <c r="H12" s="9">
        <v>14317463</v>
      </c>
      <c r="I12" s="9">
        <v>14997759</v>
      </c>
      <c r="J12" s="20"/>
    </row>
    <row r="13" spans="1:9" s="2" customFormat="1" ht="12.75">
      <c r="A13" s="2" t="str">
        <f>"1.040 Restricted Grants-in-Aid"</f>
        <v>1.040 Restricted Grants-in-Aid</v>
      </c>
      <c r="B13" s="9">
        <v>34763</v>
      </c>
      <c r="C13" s="9">
        <v>34773</v>
      </c>
      <c r="D13" s="9">
        <v>53526</v>
      </c>
      <c r="E13" s="9">
        <v>154758</v>
      </c>
      <c r="F13" s="9">
        <v>157853</v>
      </c>
      <c r="G13" s="9">
        <v>160221</v>
      </c>
      <c r="H13" s="9">
        <v>162624</v>
      </c>
      <c r="I13" s="9">
        <v>165064</v>
      </c>
    </row>
    <row r="14" spans="1:4" s="2" customFormat="1" ht="12.75">
      <c r="A14" s="2" t="str">
        <f>"1.045 Restricted Federal Grants-in-Aid - SFSF"</f>
        <v>1.045 Restricted Federal Grants-in-Aid - SFSF</v>
      </c>
      <c r="B14" s="9">
        <v>888757</v>
      </c>
      <c r="C14" s="9">
        <v>456927</v>
      </c>
      <c r="D14" s="9">
        <v>65866</v>
      </c>
    </row>
    <row r="15" spans="1:9" s="2" customFormat="1" ht="12.75">
      <c r="A15" s="2" t="str">
        <f>"1.050 Property Tax Allocation"</f>
        <v>1.050 Property Tax Allocation</v>
      </c>
      <c r="B15" s="9">
        <v>10588821</v>
      </c>
      <c r="C15" s="9">
        <v>9454101</v>
      </c>
      <c r="D15" s="9">
        <v>8461825</v>
      </c>
      <c r="E15" s="9">
        <v>8648266</v>
      </c>
      <c r="F15" s="9">
        <v>8717989</v>
      </c>
      <c r="G15" s="9">
        <v>8773614</v>
      </c>
      <c r="H15" s="9">
        <v>8826992</v>
      </c>
      <c r="I15" s="9">
        <v>8896744</v>
      </c>
    </row>
    <row r="16" spans="1:9" s="2" customFormat="1" ht="12.75">
      <c r="A16" s="2" t="str">
        <f>"1.060 All Other Operating Revenue"</f>
        <v>1.060 All Other Operating Revenue</v>
      </c>
      <c r="B16" s="9">
        <v>6636384</v>
      </c>
      <c r="C16" s="9">
        <v>7830139</v>
      </c>
      <c r="D16" s="9">
        <v>8636399</v>
      </c>
      <c r="E16" s="9">
        <v>7036029</v>
      </c>
      <c r="F16" s="9">
        <v>6472404</v>
      </c>
      <c r="G16" s="9">
        <v>6539684</v>
      </c>
      <c r="H16" s="9">
        <v>6606760</v>
      </c>
      <c r="I16" s="9">
        <v>6672827</v>
      </c>
    </row>
    <row r="17" spans="1:9" s="2" customFormat="1" ht="12.75">
      <c r="A17" s="2" t="str">
        <f>"1.070 Total Revenue"</f>
        <v>1.070 Total Revenue</v>
      </c>
      <c r="B17" s="12">
        <v>74515230</v>
      </c>
      <c r="C17" s="12">
        <v>77069536</v>
      </c>
      <c r="D17" s="12">
        <v>78491107</v>
      </c>
      <c r="E17" s="12">
        <v>79154633</v>
      </c>
      <c r="F17" s="12">
        <v>80715157</v>
      </c>
      <c r="G17" s="12">
        <v>81906480</v>
      </c>
      <c r="H17" s="12">
        <v>83140339</v>
      </c>
      <c r="I17" s="12">
        <v>84575058</v>
      </c>
    </row>
    <row r="18" spans="1:2" s="2" customFormat="1" ht="12.75">
      <c r="A18" s="2" t="str">
        <f>"2.040 Operating Transfers-In"</f>
        <v>2.040 Operating Transfers-In</v>
      </c>
      <c r="B18" s="9">
        <v>124146</v>
      </c>
    </row>
    <row r="19" spans="1:9" s="2" customFormat="1" ht="12.75">
      <c r="A19" s="2" t="str">
        <f>"2.050 Advances-In"</f>
        <v>2.050 Advances-In</v>
      </c>
      <c r="B19" s="9">
        <v>403333</v>
      </c>
      <c r="C19" s="9">
        <v>576085</v>
      </c>
      <c r="D19" s="9">
        <v>614502</v>
      </c>
      <c r="E19" s="9">
        <v>564300</v>
      </c>
      <c r="F19" s="9">
        <v>500000</v>
      </c>
      <c r="G19" s="9">
        <v>500000</v>
      </c>
      <c r="H19" s="9">
        <v>500000</v>
      </c>
      <c r="I19" s="9">
        <v>500000</v>
      </c>
    </row>
    <row r="20" spans="1:9" s="2" customFormat="1" ht="12.75">
      <c r="A20" s="2" t="str">
        <f>"2.060 All Other Financial Sources"</f>
        <v>2.060 All Other Financial Sources</v>
      </c>
      <c r="B20" s="9">
        <v>20833</v>
      </c>
      <c r="C20" s="9">
        <v>29886</v>
      </c>
      <c r="D20" s="9">
        <v>11639</v>
      </c>
      <c r="E20" s="9">
        <v>211752</v>
      </c>
      <c r="F20" s="9">
        <v>10000</v>
      </c>
      <c r="G20" s="9">
        <v>10000</v>
      </c>
      <c r="H20" s="9">
        <v>10000</v>
      </c>
      <c r="I20" s="9">
        <v>10000</v>
      </c>
    </row>
    <row r="21" spans="1:9" s="2" customFormat="1" ht="12.75">
      <c r="A21" s="2" t="str">
        <f>"2.070 Total Other Financing Sources"</f>
        <v>2.070 Total Other Financing Sources</v>
      </c>
      <c r="B21" s="12">
        <v>548312</v>
      </c>
      <c r="C21" s="12">
        <v>605971</v>
      </c>
      <c r="D21" s="12">
        <v>626141</v>
      </c>
      <c r="E21" s="12">
        <v>776052</v>
      </c>
      <c r="F21" s="12">
        <v>510000</v>
      </c>
      <c r="G21" s="12">
        <v>510000</v>
      </c>
      <c r="H21" s="12">
        <v>510000</v>
      </c>
      <c r="I21" s="12">
        <v>510000</v>
      </c>
    </row>
    <row r="22" spans="1:9" s="2" customFormat="1" ht="13.5" thickBot="1">
      <c r="A22" s="2" t="str">
        <f>"2.080 Total Revenues and Other Financing Sources"</f>
        <v>2.080 Total Revenues and Other Financing Sources</v>
      </c>
      <c r="B22" s="13">
        <v>75063542</v>
      </c>
      <c r="C22" s="13">
        <v>77675507</v>
      </c>
      <c r="D22" s="13">
        <v>79117248</v>
      </c>
      <c r="E22" s="13">
        <v>79930685</v>
      </c>
      <c r="F22" s="13">
        <v>81225157</v>
      </c>
      <c r="G22" s="13">
        <v>82416480</v>
      </c>
      <c r="H22" s="13">
        <v>83650339</v>
      </c>
      <c r="I22" s="13">
        <v>85085058</v>
      </c>
    </row>
    <row r="23" spans="1:9" s="2" customFormat="1" ht="13.5" thickTop="1">
      <c r="A23" s="2" t="str">
        <f>"3.010 Personnel Services"</f>
        <v>3.010 Personnel Services</v>
      </c>
      <c r="B23" s="9">
        <v>49807740</v>
      </c>
      <c r="C23" s="9">
        <v>47789131</v>
      </c>
      <c r="D23" s="9">
        <v>48446408</v>
      </c>
      <c r="E23" s="9">
        <v>48355329</v>
      </c>
      <c r="F23" s="9">
        <v>50232127</v>
      </c>
      <c r="G23" s="9">
        <v>50313183</v>
      </c>
      <c r="H23" s="9">
        <v>50789954</v>
      </c>
      <c r="I23" s="9">
        <v>51495563</v>
      </c>
    </row>
    <row r="24" spans="1:9" s="2" customFormat="1" ht="12.75">
      <c r="A24" s="2" t="str">
        <f>"3.020 Employees' Retirement/Insurance Benefits"</f>
        <v>3.020 Employees' Retirement/Insurance Benefits</v>
      </c>
      <c r="B24" s="9">
        <v>15363405</v>
      </c>
      <c r="C24" s="9">
        <v>14849739</v>
      </c>
      <c r="D24" s="9">
        <v>14638689</v>
      </c>
      <c r="E24" s="9">
        <v>13863833</v>
      </c>
      <c r="F24" s="9">
        <v>15024207</v>
      </c>
      <c r="G24" s="9">
        <v>15159042</v>
      </c>
      <c r="H24" s="9">
        <v>15334223</v>
      </c>
      <c r="I24" s="9">
        <v>15381877</v>
      </c>
    </row>
    <row r="25" spans="1:9" s="2" customFormat="1" ht="12.75">
      <c r="A25" s="2" t="str">
        <f>"3.030 Purchased Services"</f>
        <v>3.030 Purchased Services</v>
      </c>
      <c r="B25" s="9">
        <v>7472237</v>
      </c>
      <c r="C25" s="9">
        <v>8046601</v>
      </c>
      <c r="D25" s="9">
        <v>7833502</v>
      </c>
      <c r="E25" s="9">
        <v>9437507</v>
      </c>
      <c r="F25" s="9">
        <v>8287593</v>
      </c>
      <c r="G25" s="9">
        <v>8574309</v>
      </c>
      <c r="H25" s="9">
        <v>8871194</v>
      </c>
      <c r="I25" s="9">
        <v>9486629</v>
      </c>
    </row>
    <row r="26" spans="1:9" s="2" customFormat="1" ht="12.75">
      <c r="A26" s="2" t="str">
        <f>"3.040 Supplies and Materials"</f>
        <v>3.040 Supplies and Materials</v>
      </c>
      <c r="B26" s="9">
        <v>1736947</v>
      </c>
      <c r="C26" s="9">
        <v>1843656</v>
      </c>
      <c r="D26" s="9">
        <v>1963065</v>
      </c>
      <c r="E26" s="9">
        <v>2629116</v>
      </c>
      <c r="F26" s="9">
        <v>2031727</v>
      </c>
      <c r="G26" s="9">
        <v>2102837</v>
      </c>
      <c r="H26" s="9">
        <v>2176436</v>
      </c>
      <c r="I26" s="9">
        <v>2252612</v>
      </c>
    </row>
    <row r="27" spans="1:9" s="2" customFormat="1" ht="12.75">
      <c r="A27" s="2" t="str">
        <f>"3.050 Capital Outlay"</f>
        <v>3.050 Capital Outlay</v>
      </c>
      <c r="B27" s="9">
        <v>1551806</v>
      </c>
      <c r="C27" s="9">
        <v>1622222</v>
      </c>
      <c r="D27" s="9">
        <v>1606612</v>
      </c>
      <c r="E27" s="9">
        <v>2299171</v>
      </c>
      <c r="F27" s="9">
        <v>1161734</v>
      </c>
      <c r="G27" s="9">
        <v>679185</v>
      </c>
      <c r="H27" s="9">
        <v>1141769</v>
      </c>
      <c r="I27" s="9">
        <v>1249844</v>
      </c>
    </row>
    <row r="28" spans="1:4" s="2" customFormat="1" ht="12.75">
      <c r="A28" s="2" t="str">
        <f>"3.060 Intergovernmental"</f>
        <v>3.060 Intergovernmental</v>
      </c>
      <c r="D28" s="9">
        <v>1385921</v>
      </c>
    </row>
    <row r="29" spans="1:9" s="2" customFormat="1" ht="12.75">
      <c r="A29" s="2" t="str">
        <f>"4.020 Debt Service: Principal-Notes"</f>
        <v>4.020 Debt Service: Principal-Notes</v>
      </c>
      <c r="E29" s="9">
        <v>907461</v>
      </c>
      <c r="F29" s="9">
        <v>960989</v>
      </c>
      <c r="G29" s="9">
        <v>987140</v>
      </c>
      <c r="H29" s="9">
        <v>1018325</v>
      </c>
      <c r="I29" s="9">
        <v>1054545</v>
      </c>
    </row>
    <row r="30" spans="1:9" s="2" customFormat="1" ht="12.75">
      <c r="A30" s="2" t="str">
        <f>"4.050 Debt Service: Principal - HB 264 Loans"</f>
        <v>4.050 Debt Service: Principal - HB 264 Loans</v>
      </c>
      <c r="E30" s="9">
        <v>115000</v>
      </c>
      <c r="F30" s="9">
        <v>270000</v>
      </c>
      <c r="G30" s="9">
        <v>275000</v>
      </c>
      <c r="H30" s="9">
        <v>280000</v>
      </c>
      <c r="I30" s="9">
        <v>280000</v>
      </c>
    </row>
    <row r="31" spans="1:9" s="2" customFormat="1" ht="12.75">
      <c r="A31" s="2" t="str">
        <f>"4.055 Debt Service: Principal - Other"</f>
        <v>4.055 Debt Service: Principal - Other</v>
      </c>
      <c r="E31" s="9">
        <v>125000</v>
      </c>
      <c r="F31" s="9">
        <v>125000</v>
      </c>
      <c r="G31" s="9">
        <v>130000</v>
      </c>
      <c r="H31" s="9">
        <v>135000</v>
      </c>
      <c r="I31" s="9">
        <v>145000</v>
      </c>
    </row>
    <row r="32" spans="1:9" s="2" customFormat="1" ht="12.75">
      <c r="A32" s="2" t="str">
        <f>"4.060 Debt Service: Interest and Fiscal Charges"</f>
        <v>4.060 Debt Service: Interest and Fiscal Charges</v>
      </c>
      <c r="E32" s="9">
        <v>721492</v>
      </c>
      <c r="F32" s="9">
        <v>730806</v>
      </c>
      <c r="G32" s="9">
        <v>711757</v>
      </c>
      <c r="H32" s="9">
        <v>663613</v>
      </c>
      <c r="I32" s="9">
        <v>612652</v>
      </c>
    </row>
    <row r="33" spans="1:9" s="2" customFormat="1" ht="12.75">
      <c r="A33" s="2" t="str">
        <f>"4.300 Other Objects"</f>
        <v>4.300 Other Objects</v>
      </c>
      <c r="B33" s="9">
        <v>1968457</v>
      </c>
      <c r="C33" s="9">
        <v>1795193</v>
      </c>
      <c r="D33" s="9">
        <v>2212221</v>
      </c>
      <c r="E33" s="9">
        <v>2256466</v>
      </c>
      <c r="F33" s="9">
        <v>2351595</v>
      </c>
      <c r="G33" s="9">
        <v>2314013</v>
      </c>
      <c r="H33" s="9">
        <v>2360293</v>
      </c>
      <c r="I33" s="9">
        <v>2407499</v>
      </c>
    </row>
    <row r="34" spans="1:9" s="2" customFormat="1" ht="12.75">
      <c r="A34" s="2" t="str">
        <f>"4.500 Total Expenditures"</f>
        <v>4.500 Total Expenditures</v>
      </c>
      <c r="B34" s="12">
        <v>77900592</v>
      </c>
      <c r="C34" s="12">
        <v>75946542</v>
      </c>
      <c r="D34" s="12">
        <v>78086418</v>
      </c>
      <c r="E34" s="12">
        <v>80710375</v>
      </c>
      <c r="F34" s="12">
        <v>81175778</v>
      </c>
      <c r="G34" s="12">
        <v>81246466</v>
      </c>
      <c r="H34" s="12">
        <v>82770807</v>
      </c>
      <c r="I34" s="12">
        <v>84366221</v>
      </c>
    </row>
    <row r="35" spans="1:9" s="2" customFormat="1" ht="12.75">
      <c r="A35" s="2" t="str">
        <f>"5.010 Operational Transfers - Out"</f>
        <v>5.010 Operational Transfers - Out</v>
      </c>
      <c r="B35" s="9">
        <v>1837491</v>
      </c>
      <c r="C35" s="9">
        <v>1853645</v>
      </c>
      <c r="D35" s="9">
        <v>233566</v>
      </c>
      <c r="E35" s="9">
        <v>212000</v>
      </c>
      <c r="F35" s="9">
        <v>212727</v>
      </c>
      <c r="G35" s="9">
        <v>213523</v>
      </c>
      <c r="H35" s="9">
        <v>214327</v>
      </c>
      <c r="I35" s="9">
        <v>215138</v>
      </c>
    </row>
    <row r="36" spans="1:9" s="2" customFormat="1" ht="12.75">
      <c r="A36" s="2" t="str">
        <f>"5.020 Advances - Out"</f>
        <v>5.020 Advances - Out</v>
      </c>
      <c r="B36" s="9">
        <v>588809</v>
      </c>
      <c r="C36" s="9">
        <v>584474</v>
      </c>
      <c r="D36" s="9">
        <v>494456</v>
      </c>
      <c r="E36" s="9">
        <v>500000</v>
      </c>
      <c r="F36" s="9">
        <v>500000</v>
      </c>
      <c r="G36" s="9">
        <v>500000</v>
      </c>
      <c r="H36" s="9">
        <v>500000</v>
      </c>
      <c r="I36" s="9">
        <v>500000</v>
      </c>
    </row>
    <row r="37" spans="1:9" s="2" customFormat="1" ht="12.75">
      <c r="A37" s="2" t="str">
        <f>"5.030 All Other Financing Uses"</f>
        <v>5.030 All Other Financing Uses</v>
      </c>
      <c r="C37" s="9">
        <v>1004</v>
      </c>
      <c r="D37" s="11">
        <v>929</v>
      </c>
      <c r="E37" s="9">
        <v>982200</v>
      </c>
      <c r="F37" s="9">
        <v>800000</v>
      </c>
      <c r="G37" s="9">
        <v>800000</v>
      </c>
      <c r="H37" s="9">
        <v>850000</v>
      </c>
      <c r="I37" s="9">
        <v>850000</v>
      </c>
    </row>
    <row r="38" spans="1:9" s="2" customFormat="1" ht="12.75">
      <c r="A38" s="2" t="str">
        <f>"5.040 Total Other Financing Uses"</f>
        <v>5.040 Total Other Financing Uses</v>
      </c>
      <c r="B38" s="12">
        <v>2426300</v>
      </c>
      <c r="C38" s="12">
        <v>2439123</v>
      </c>
      <c r="D38" s="12">
        <v>728951</v>
      </c>
      <c r="E38" s="12">
        <v>1694200</v>
      </c>
      <c r="F38" s="12">
        <v>1512727</v>
      </c>
      <c r="G38" s="12">
        <v>1513523</v>
      </c>
      <c r="H38" s="12">
        <v>1564327</v>
      </c>
      <c r="I38" s="12">
        <v>1565138</v>
      </c>
    </row>
    <row r="39" spans="1:9" s="2" customFormat="1" ht="13.5" thickBot="1">
      <c r="A39" s="2" t="str">
        <f>"5.050 Total Expenditure and Other Financing Uses"</f>
        <v>5.050 Total Expenditure and Other Financing Uses</v>
      </c>
      <c r="B39" s="13">
        <v>80326892</v>
      </c>
      <c r="C39" s="13">
        <v>78385665</v>
      </c>
      <c r="D39" s="13">
        <v>78815369</v>
      </c>
      <c r="E39" s="13">
        <v>82404575</v>
      </c>
      <c r="F39" s="13">
        <v>82688505</v>
      </c>
      <c r="G39" s="13">
        <v>82759989</v>
      </c>
      <c r="H39" s="13">
        <v>84335134</v>
      </c>
      <c r="I39" s="13">
        <v>85931359</v>
      </c>
    </row>
    <row r="40" spans="1:9" s="2" customFormat="1" ht="14.25" thickBot="1" thickTop="1">
      <c r="A40" s="2" t="str">
        <f>"6.010 Excess Rev &amp; Oth Financing Sources over(under) Exp &amp; Oth Financing"</f>
        <v>6.010 Excess Rev &amp; Oth Financing Sources over(under) Exp &amp; Oth Financing</v>
      </c>
      <c r="B40" s="13">
        <v>-5263350</v>
      </c>
      <c r="C40" s="13">
        <v>-710158</v>
      </c>
      <c r="D40" s="13">
        <v>301879</v>
      </c>
      <c r="E40" s="13">
        <v>-2473890</v>
      </c>
      <c r="F40" s="13">
        <v>-1463348</v>
      </c>
      <c r="G40" s="13">
        <v>-343509</v>
      </c>
      <c r="H40" s="13">
        <v>-684795</v>
      </c>
      <c r="I40" s="13">
        <v>-846301</v>
      </c>
    </row>
    <row r="41" spans="1:9" s="2" customFormat="1" ht="13.5" thickTop="1">
      <c r="A41" s="2" t="str">
        <f>"7.010 Beginning Cash Balance"</f>
        <v>7.010 Beginning Cash Balance</v>
      </c>
      <c r="B41" s="9">
        <v>14704850</v>
      </c>
      <c r="C41" s="9">
        <v>9441500</v>
      </c>
      <c r="D41" s="9">
        <v>8731342</v>
      </c>
      <c r="E41" s="9">
        <v>9033221</v>
      </c>
      <c r="F41" s="9">
        <v>6559331</v>
      </c>
      <c r="G41" s="9">
        <v>5095983</v>
      </c>
      <c r="H41" s="9">
        <v>4752474</v>
      </c>
      <c r="I41" s="9">
        <v>4067679</v>
      </c>
    </row>
    <row r="42" spans="1:9" s="2" customFormat="1" ht="12.75">
      <c r="A42" s="2" t="str">
        <f>"7.020 Ending Cash Balance"</f>
        <v>7.020 Ending Cash Balance</v>
      </c>
      <c r="B42" s="9">
        <v>9441500</v>
      </c>
      <c r="C42" s="9">
        <v>8731342</v>
      </c>
      <c r="D42" s="9">
        <v>9033221</v>
      </c>
      <c r="E42" s="9">
        <v>6559331</v>
      </c>
      <c r="F42" s="9">
        <v>5095983</v>
      </c>
      <c r="G42" s="9">
        <v>4752474</v>
      </c>
      <c r="H42" s="9">
        <v>4067679</v>
      </c>
      <c r="I42" s="9">
        <v>3221378</v>
      </c>
    </row>
    <row r="43" spans="1:9" s="2" customFormat="1" ht="12.75">
      <c r="A43" s="2" t="str">
        <f>"8.010 Outstanding Encumbrances"</f>
        <v>8.010 Outstanding Encumbrances</v>
      </c>
      <c r="B43" s="9">
        <v>3374136</v>
      </c>
      <c r="C43" s="9">
        <v>2716166</v>
      </c>
      <c r="D43" s="9">
        <v>3617166</v>
      </c>
      <c r="E43" s="9">
        <v>3000000</v>
      </c>
      <c r="F43" s="9">
        <v>3000000</v>
      </c>
      <c r="G43" s="9">
        <v>3200000</v>
      </c>
      <c r="H43" s="9">
        <v>3250000</v>
      </c>
      <c r="I43" s="9">
        <v>3250000</v>
      </c>
    </row>
    <row r="44" spans="1:9" s="2" customFormat="1" ht="12.75">
      <c r="A44" s="2" t="str">
        <f>"9.030 Budget Reserve"</f>
        <v>9.030 Budget Reserve</v>
      </c>
      <c r="B44" s="9">
        <v>1000303</v>
      </c>
      <c r="C44" s="9">
        <v>1000303</v>
      </c>
      <c r="D44" s="9">
        <v>1000303</v>
      </c>
      <c r="E44" s="9">
        <v>1000303</v>
      </c>
      <c r="F44" s="9">
        <v>1000303</v>
      </c>
      <c r="G44" s="9">
        <v>1000303</v>
      </c>
      <c r="H44" s="9">
        <v>1000303</v>
      </c>
      <c r="I44" s="9">
        <v>1000303</v>
      </c>
    </row>
    <row r="45" spans="1:9" s="2" customFormat="1" ht="12.75">
      <c r="A45" s="2" t="str">
        <f>"9.080 Total Reservations"</f>
        <v>9.080 Total Reservations</v>
      </c>
      <c r="B45" s="12">
        <v>1000303</v>
      </c>
      <c r="C45" s="12">
        <v>1000303</v>
      </c>
      <c r="D45" s="12">
        <v>1000303</v>
      </c>
      <c r="E45" s="12">
        <v>1000303</v>
      </c>
      <c r="F45" s="12">
        <v>1000303</v>
      </c>
      <c r="G45" s="12">
        <v>1000303</v>
      </c>
      <c r="H45" s="12">
        <v>1000303</v>
      </c>
      <c r="I45" s="12">
        <v>1000303</v>
      </c>
    </row>
    <row r="46" spans="1:9" s="2" customFormat="1" ht="12.75">
      <c r="A46" s="2" t="str">
        <f>"10.010 Fund Balance June 30 for Certification of Appropriations"</f>
        <v>10.010 Fund Balance June 30 for Certification of Appropriations</v>
      </c>
      <c r="B46" s="9">
        <v>5067061</v>
      </c>
      <c r="C46" s="9">
        <v>5014873</v>
      </c>
      <c r="D46" s="9">
        <v>4415752</v>
      </c>
      <c r="E46" s="9">
        <v>2559028</v>
      </c>
      <c r="F46" s="9">
        <v>1095680</v>
      </c>
      <c r="G46" s="9">
        <v>552171</v>
      </c>
      <c r="H46" s="9">
        <v>-182624</v>
      </c>
      <c r="I46" s="9">
        <v>-1028925</v>
      </c>
    </row>
    <row r="47" spans="1:9" s="2" customFormat="1" ht="12.75">
      <c r="A47" s="2" t="str">
        <f>"12.010 Fund Bal June 30 for Cert of Contracts,Salary Sched,Oth Obligations"</f>
        <v>12.010 Fund Bal June 30 for Cert of Contracts,Salary Sched,Oth Obligations</v>
      </c>
      <c r="B47" s="9">
        <v>5067061</v>
      </c>
      <c r="C47" s="9">
        <v>5014873</v>
      </c>
      <c r="D47" s="9">
        <v>4415752</v>
      </c>
      <c r="E47" s="9">
        <v>2559028</v>
      </c>
      <c r="F47" s="9">
        <v>1095680</v>
      </c>
      <c r="G47" s="9">
        <v>552171</v>
      </c>
      <c r="H47" s="9">
        <v>-182624</v>
      </c>
      <c r="I47" s="9">
        <v>-1028925</v>
      </c>
    </row>
    <row r="48" spans="1:9" s="2" customFormat="1" ht="13.5" thickBot="1">
      <c r="A48" s="2" t="str">
        <f>"15.010 Unreserved Fund Balance June 30"</f>
        <v>15.010 Unreserved Fund Balance June 30</v>
      </c>
      <c r="B48" s="13">
        <v>5067061</v>
      </c>
      <c r="C48" s="13">
        <v>5014873</v>
      </c>
      <c r="D48" s="13">
        <v>4415752</v>
      </c>
      <c r="E48" s="13">
        <v>2559027</v>
      </c>
      <c r="F48" s="13">
        <v>1095679</v>
      </c>
      <c r="G48" s="13">
        <v>552170</v>
      </c>
      <c r="H48" s="13">
        <v>-182627</v>
      </c>
      <c r="I48" s="13">
        <v>-1028927</v>
      </c>
    </row>
    <row r="49" s="2" customFormat="1" ht="13.5" thickTop="1">
      <c r="A49" s="4"/>
    </row>
    <row r="50" s="2" customFormat="1" ht="13.5" thickBot="1">
      <c r="A50" s="4"/>
    </row>
    <row r="51" s="2" customFormat="1" ht="13.5" thickBot="1">
      <c r="A51" s="6" t="s">
        <v>4</v>
      </c>
    </row>
    <row r="52" s="2" customFormat="1" ht="12.75">
      <c r="A52" s="4"/>
    </row>
    <row r="53" s="2" customFormat="1" ht="12.75">
      <c r="A53" s="4"/>
    </row>
    <row r="54" spans="1:8" s="2" customFormat="1" ht="12.75">
      <c r="A54" s="19" t="str">
        <f>"Please visit the Ohio Department of Education website at"</f>
        <v>Please visit the Ohio Department of Education website at</v>
      </c>
      <c r="B54" s="19"/>
      <c r="C54" s="19"/>
      <c r="D54" s="19"/>
      <c r="E54" s="19"/>
      <c r="F54" s="19"/>
      <c r="G54" s="19"/>
      <c r="H54" s="19"/>
    </row>
    <row r="55" spans="1:8" s="2" customFormat="1" ht="12.75">
      <c r="A55" s="19" t="str">
        <f>"ftp://ftp.ode.state.oh.us/geodoc/5-yrForecast/."</f>
        <v>ftp://ftp.ode.state.oh.us/geodoc/5-yrForecast/.</v>
      </c>
      <c r="B55" s="19"/>
      <c r="C55" s="19"/>
      <c r="D55" s="19"/>
      <c r="E55" s="19"/>
      <c r="F55" s="19"/>
      <c r="G55" s="19"/>
      <c r="H55" s="19"/>
    </row>
  </sheetData>
  <mergeCells count="5">
    <mergeCell ref="A55:H55"/>
    <mergeCell ref="A1:I1"/>
    <mergeCell ref="B8:D8"/>
    <mergeCell ref="E8:I8"/>
    <mergeCell ref="A54:H5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showGridLines="0" workbookViewId="0" topLeftCell="A4">
      <selection activeCell="A12" sqref="A12"/>
    </sheetView>
  </sheetViews>
  <sheetFormatPr defaultColWidth="9.140625" defaultRowHeight="12.75"/>
  <cols>
    <col min="1" max="1" width="29.8515625" style="0" customWidth="1"/>
    <col min="2" max="9" width="10.140625" style="0" customWidth="1"/>
    <col min="10" max="10" width="19.140625" style="0" customWidth="1"/>
  </cols>
  <sheetData>
    <row r="1" spans="1:10" ht="18" thickBot="1">
      <c r="A1" s="14" t="s">
        <v>6</v>
      </c>
      <c r="B1" s="15"/>
      <c r="C1" s="15"/>
      <c r="D1" s="15"/>
      <c r="E1" s="15"/>
      <c r="F1" s="15"/>
      <c r="G1" s="15"/>
      <c r="H1" s="15"/>
      <c r="I1" s="15"/>
      <c r="J1" s="21"/>
    </row>
    <row r="2" ht="12.75">
      <c r="A2" s="1"/>
    </row>
    <row r="3" s="2" customFormat="1" ht="12.75">
      <c r="A3" s="3" t="str">
        <f>"District Type: Local"</f>
        <v>District Type: Local</v>
      </c>
    </row>
    <row r="4" s="2" customFormat="1" ht="12.75">
      <c r="A4" s="3" t="str">
        <f>"IRN: 046979"</f>
        <v>IRN: 046979</v>
      </c>
    </row>
    <row r="5" s="2" customFormat="1" ht="12.75">
      <c r="A5" s="3" t="str">
        <f>"County: Franklin "</f>
        <v>County: Franklin </v>
      </c>
    </row>
    <row r="6" spans="1:4" s="2" customFormat="1" ht="12.75">
      <c r="A6" s="3" t="str">
        <f>"Date Submitted: 5/19/2014 Date Processed: 6/4/2014"</f>
        <v>Date Submitted: 5/19/2014 Date Processed: 6/4/2014</v>
      </c>
      <c r="B6" s="3"/>
      <c r="C6" s="3"/>
      <c r="D6" s="3"/>
    </row>
    <row r="7" spans="1:12" s="2" customFormat="1" ht="13.5" thickBot="1">
      <c r="A7" s="4"/>
      <c r="K7" s="5"/>
      <c r="L7" s="5"/>
    </row>
    <row r="8" spans="2:9" s="2" customFormat="1" ht="13.5" thickBot="1">
      <c r="B8" s="16" t="s">
        <v>1</v>
      </c>
      <c r="C8" s="17"/>
      <c r="D8" s="18"/>
      <c r="E8" s="16" t="s">
        <v>2</v>
      </c>
      <c r="F8" s="17"/>
      <c r="G8" s="17"/>
      <c r="H8" s="17"/>
      <c r="I8" s="18"/>
    </row>
    <row r="9" spans="1:11" s="2" customFormat="1" ht="13.5" thickBot="1">
      <c r="A9" s="6" t="s">
        <v>3</v>
      </c>
      <c r="B9" s="7">
        <v>2011</v>
      </c>
      <c r="C9" s="7">
        <v>2012</v>
      </c>
      <c r="D9" s="7">
        <v>2013</v>
      </c>
      <c r="E9" s="7">
        <v>2014</v>
      </c>
      <c r="F9" s="7">
        <v>2015</v>
      </c>
      <c r="G9" s="7">
        <v>2016</v>
      </c>
      <c r="H9" s="7">
        <v>2017</v>
      </c>
      <c r="I9" s="7">
        <v>2018</v>
      </c>
      <c r="K9" s="8"/>
    </row>
    <row r="10" spans="1:12" s="2" customFormat="1" ht="12.75">
      <c r="A10" s="2" t="str">
        <f>"1.010 General Property (Real Estate)"</f>
        <v>1.010 General Property (Real Estate)</v>
      </c>
      <c r="B10" s="9">
        <v>31749030</v>
      </c>
      <c r="C10" s="9">
        <v>22202839</v>
      </c>
      <c r="D10" s="9">
        <v>25292179</v>
      </c>
      <c r="E10" s="9">
        <v>25292179</v>
      </c>
      <c r="F10" s="9">
        <v>27683037</v>
      </c>
      <c r="G10" s="9">
        <v>30073896</v>
      </c>
      <c r="H10" s="9">
        <v>30073896</v>
      </c>
      <c r="I10" s="9">
        <v>30073896</v>
      </c>
      <c r="K10" s="10"/>
      <c r="L10" s="10"/>
    </row>
    <row r="11" spans="1:4" s="2" customFormat="1" ht="12.75">
      <c r="A11" s="2" t="str">
        <f>"1.020 Tangible Personal Property Tax"</f>
        <v>1.020 Tangible Personal Property Tax</v>
      </c>
      <c r="B11" s="9">
        <v>49993</v>
      </c>
      <c r="C11" s="9">
        <v>6383</v>
      </c>
      <c r="D11" s="9">
        <v>125095</v>
      </c>
    </row>
    <row r="12" spans="1:12" s="2" customFormat="1" ht="12.75">
      <c r="A12" s="2" t="str">
        <f>"1.035 Unrestricted Grants-in-Aid"</f>
        <v>1.035 Unrestricted Grants-in-Aid</v>
      </c>
      <c r="B12" s="9">
        <v>27091528</v>
      </c>
      <c r="C12" s="9">
        <v>28370041</v>
      </c>
      <c r="D12" s="9">
        <v>29818880</v>
      </c>
      <c r="E12" s="9">
        <v>30771079</v>
      </c>
      <c r="F12" s="9">
        <v>33688470</v>
      </c>
      <c r="G12" s="9">
        <v>33688470</v>
      </c>
      <c r="H12" s="9">
        <v>33688470</v>
      </c>
      <c r="I12" s="9">
        <v>33688470</v>
      </c>
      <c r="K12" s="10"/>
      <c r="L12" s="10"/>
    </row>
    <row r="13" spans="1:3" s="2" customFormat="1" ht="12.75">
      <c r="A13" s="2" t="str">
        <f>"1.040 Restricted Grants-in-Aid"</f>
        <v>1.040 Restricted Grants-in-Aid</v>
      </c>
      <c r="B13" s="9">
        <v>78719</v>
      </c>
      <c r="C13" s="9">
        <v>8156</v>
      </c>
    </row>
    <row r="14" spans="1:3" s="2" customFormat="1" ht="12.75">
      <c r="A14" s="2" t="str">
        <f>"1.045 Restricted Federal Grants-in-Aid - SFSF"</f>
        <v>1.045 Restricted Federal Grants-in-Aid - SFSF</v>
      </c>
      <c r="B14" s="9">
        <v>2368147</v>
      </c>
      <c r="C14" s="9">
        <v>979617</v>
      </c>
    </row>
    <row r="15" spans="1:9" s="2" customFormat="1" ht="12.75">
      <c r="A15" s="2" t="str">
        <f>"1.050 Property Tax Allocation"</f>
        <v>1.050 Property Tax Allocation</v>
      </c>
      <c r="B15" s="9">
        <v>5764279</v>
      </c>
      <c r="C15" s="9">
        <v>5825522</v>
      </c>
      <c r="D15" s="9">
        <v>3486918</v>
      </c>
      <c r="E15" s="9">
        <v>3486918</v>
      </c>
      <c r="F15" s="9">
        <v>3486918</v>
      </c>
      <c r="G15" s="9">
        <v>3486918</v>
      </c>
      <c r="H15" s="9">
        <v>3486918</v>
      </c>
      <c r="I15" s="9">
        <v>3486918</v>
      </c>
    </row>
    <row r="16" spans="1:9" s="2" customFormat="1" ht="12.75">
      <c r="A16" s="2" t="str">
        <f>"1.060 All Other Operating Revenue"</f>
        <v>1.060 All Other Operating Revenue</v>
      </c>
      <c r="B16" s="9">
        <v>1472214</v>
      </c>
      <c r="C16" s="9">
        <v>2930280</v>
      </c>
      <c r="D16" s="9">
        <v>2640502</v>
      </c>
      <c r="E16" s="9">
        <v>2853950</v>
      </c>
      <c r="F16" s="9">
        <v>2853950</v>
      </c>
      <c r="G16" s="9">
        <v>2853950</v>
      </c>
      <c r="H16" s="9">
        <v>2853950</v>
      </c>
      <c r="I16" s="9">
        <v>2853950</v>
      </c>
    </row>
    <row r="17" spans="1:9" s="2" customFormat="1" ht="12.75">
      <c r="A17" s="2" t="str">
        <f>"1.070 Total Revenue"</f>
        <v>1.070 Total Revenue</v>
      </c>
      <c r="B17" s="12">
        <v>68573910</v>
      </c>
      <c r="C17" s="12">
        <v>60322838</v>
      </c>
      <c r="D17" s="12">
        <v>61363574</v>
      </c>
      <c r="E17" s="12">
        <v>62404126</v>
      </c>
      <c r="F17" s="12">
        <v>67712375</v>
      </c>
      <c r="G17" s="12">
        <v>70103234</v>
      </c>
      <c r="H17" s="12">
        <v>70103234</v>
      </c>
      <c r="I17" s="12">
        <v>70103234</v>
      </c>
    </row>
    <row r="18" spans="1:4" s="2" customFormat="1" ht="12.75">
      <c r="A18" s="2" t="str">
        <f>"2.010 Proceeds from Sale of Notes"</f>
        <v>2.010 Proceeds from Sale of Notes</v>
      </c>
      <c r="D18" s="9">
        <v>5000000</v>
      </c>
    </row>
    <row r="19" spans="1:3" s="2" customFormat="1" ht="12.75">
      <c r="A19" s="2" t="str">
        <f>"2.040 Operating Transfers-In"</f>
        <v>2.040 Operating Transfers-In</v>
      </c>
      <c r="C19" s="11">
        <v>29</v>
      </c>
    </row>
    <row r="20" spans="1:3" s="2" customFormat="1" ht="12.75">
      <c r="A20" s="2" t="str">
        <f>"2.050 Advances-In"</f>
        <v>2.050 Advances-In</v>
      </c>
      <c r="B20" s="9">
        <v>669300</v>
      </c>
      <c r="C20" s="9">
        <v>1655200</v>
      </c>
    </row>
    <row r="21" spans="1:9" s="2" customFormat="1" ht="12.75">
      <c r="A21" s="2" t="str">
        <f>"2.060 All Other Financial Sources"</f>
        <v>2.060 All Other Financial Sources</v>
      </c>
      <c r="B21" s="9">
        <v>410753</v>
      </c>
      <c r="C21" s="9">
        <v>150095</v>
      </c>
      <c r="D21" s="9">
        <v>1068821</v>
      </c>
      <c r="E21" s="9">
        <v>150000</v>
      </c>
      <c r="F21" s="9">
        <v>150000</v>
      </c>
      <c r="G21" s="9">
        <v>150000</v>
      </c>
      <c r="H21" s="9">
        <v>150000</v>
      </c>
      <c r="I21" s="9">
        <v>150000</v>
      </c>
    </row>
    <row r="22" spans="1:9" s="2" customFormat="1" ht="12.75">
      <c r="A22" s="2" t="str">
        <f>"2.070 Total Other Financing Sources"</f>
        <v>2.070 Total Other Financing Sources</v>
      </c>
      <c r="B22" s="12">
        <v>1080053</v>
      </c>
      <c r="C22" s="12">
        <v>1805324</v>
      </c>
      <c r="D22" s="12">
        <v>6068821</v>
      </c>
      <c r="E22" s="12">
        <v>150000</v>
      </c>
      <c r="F22" s="12">
        <v>150000</v>
      </c>
      <c r="G22" s="12">
        <v>150000</v>
      </c>
      <c r="H22" s="12">
        <v>150000</v>
      </c>
      <c r="I22" s="12">
        <v>150000</v>
      </c>
    </row>
    <row r="23" spans="1:9" s="2" customFormat="1" ht="13.5" thickBot="1">
      <c r="A23" s="2" t="str">
        <f>"2.080 Total Revenues and Other Financing Sources"</f>
        <v>2.080 Total Revenues and Other Financing Sources</v>
      </c>
      <c r="B23" s="13">
        <v>69653963</v>
      </c>
      <c r="C23" s="13">
        <v>62128162</v>
      </c>
      <c r="D23" s="13">
        <v>67432395</v>
      </c>
      <c r="E23" s="13">
        <v>62554126</v>
      </c>
      <c r="F23" s="13">
        <v>67862375</v>
      </c>
      <c r="G23" s="13">
        <v>70253234</v>
      </c>
      <c r="H23" s="13">
        <v>70253234</v>
      </c>
      <c r="I23" s="13">
        <v>70253234</v>
      </c>
    </row>
    <row r="24" spans="1:9" s="2" customFormat="1" ht="13.5" thickTop="1">
      <c r="A24" s="2" t="str">
        <f>"3.010 Personnel Services"</f>
        <v>3.010 Personnel Services</v>
      </c>
      <c r="B24" s="9">
        <v>29449264</v>
      </c>
      <c r="C24" s="9">
        <v>30011443</v>
      </c>
      <c r="D24" s="9">
        <v>28025681</v>
      </c>
      <c r="E24" s="9">
        <v>26750000</v>
      </c>
      <c r="F24" s="9">
        <v>27882000</v>
      </c>
      <c r="G24" s="9">
        <v>28132000</v>
      </c>
      <c r="H24" s="9">
        <v>28382000</v>
      </c>
      <c r="I24" s="9">
        <v>28632000</v>
      </c>
    </row>
    <row r="25" spans="1:9" s="2" customFormat="1" ht="12.75">
      <c r="A25" s="2" t="str">
        <f>"3.020 Employees' Retirement/Insurance Benefits"</f>
        <v>3.020 Employees' Retirement/Insurance Benefits</v>
      </c>
      <c r="B25" s="9">
        <v>11124453</v>
      </c>
      <c r="C25" s="9">
        <v>11666873</v>
      </c>
      <c r="D25" s="9">
        <v>11249677</v>
      </c>
      <c r="E25" s="9">
        <v>11558519</v>
      </c>
      <c r="F25" s="9">
        <v>12378344</v>
      </c>
      <c r="G25" s="9">
        <v>13057194</v>
      </c>
      <c r="H25" s="9">
        <v>13736044</v>
      </c>
      <c r="I25" s="9">
        <v>14414894</v>
      </c>
    </row>
    <row r="26" spans="1:9" s="2" customFormat="1" ht="12.75">
      <c r="A26" s="2" t="str">
        <f>"3.030 Purchased Services"</f>
        <v>3.030 Purchased Services</v>
      </c>
      <c r="B26" s="9">
        <v>19803728</v>
      </c>
      <c r="C26" s="9">
        <v>19578251</v>
      </c>
      <c r="D26" s="9">
        <v>21017917</v>
      </c>
      <c r="E26" s="9">
        <v>19908917</v>
      </c>
      <c r="F26" s="9">
        <v>21258917</v>
      </c>
      <c r="G26" s="9">
        <v>21258917</v>
      </c>
      <c r="H26" s="9">
        <v>21258917</v>
      </c>
      <c r="I26" s="9">
        <v>21258917</v>
      </c>
    </row>
    <row r="27" spans="1:9" s="2" customFormat="1" ht="12.75">
      <c r="A27" s="2" t="str">
        <f>"3.040 Supplies and Materials"</f>
        <v>3.040 Supplies and Materials</v>
      </c>
      <c r="B27" s="9">
        <v>1629089</v>
      </c>
      <c r="C27" s="9">
        <v>1708189</v>
      </c>
      <c r="D27" s="9">
        <v>1301889</v>
      </c>
      <c r="E27" s="9">
        <v>1201850</v>
      </c>
      <c r="F27" s="9">
        <v>1201850</v>
      </c>
      <c r="G27" s="9">
        <v>1201850</v>
      </c>
      <c r="H27" s="9">
        <v>1201850</v>
      </c>
      <c r="I27" s="9">
        <v>1201850</v>
      </c>
    </row>
    <row r="28" spans="1:4" s="2" customFormat="1" ht="12.75">
      <c r="A28" s="2" t="str">
        <f>"3.050 Capital Outlay"</f>
        <v>3.050 Capital Outlay</v>
      </c>
      <c r="B28" s="9">
        <v>73881</v>
      </c>
      <c r="C28" s="9">
        <v>5597</v>
      </c>
      <c r="D28" s="9">
        <v>6682</v>
      </c>
    </row>
    <row r="29" spans="1:9" s="2" customFormat="1" ht="12.75">
      <c r="A29" s="2" t="str">
        <f>"4.300 Other Objects"</f>
        <v>4.300 Other Objects</v>
      </c>
      <c r="B29" s="9">
        <v>817095</v>
      </c>
      <c r="C29" s="9">
        <v>1158645</v>
      </c>
      <c r="D29" s="9">
        <v>1879645</v>
      </c>
      <c r="E29" s="9">
        <v>1285095</v>
      </c>
      <c r="F29" s="9">
        <v>1397212</v>
      </c>
      <c r="G29" s="9">
        <v>1397212</v>
      </c>
      <c r="H29" s="9">
        <v>1397212</v>
      </c>
      <c r="I29" s="9">
        <v>1397212</v>
      </c>
    </row>
    <row r="30" spans="1:9" s="2" customFormat="1" ht="12.75">
      <c r="A30" s="2" t="str">
        <f>"4.500 Total Expenditures"</f>
        <v>4.500 Total Expenditures</v>
      </c>
      <c r="B30" s="12">
        <v>62897510</v>
      </c>
      <c r="C30" s="12">
        <v>64128998</v>
      </c>
      <c r="D30" s="12">
        <v>63481491</v>
      </c>
      <c r="E30" s="12">
        <v>60704381</v>
      </c>
      <c r="F30" s="12">
        <v>64118323</v>
      </c>
      <c r="G30" s="12">
        <v>65047173</v>
      </c>
      <c r="H30" s="12">
        <v>65976023</v>
      </c>
      <c r="I30" s="12">
        <v>66904873</v>
      </c>
    </row>
    <row r="31" spans="1:4" s="2" customFormat="1" ht="12.75">
      <c r="A31" s="2" t="str">
        <f>"5.010 Operational Transfers - Out"</f>
        <v>5.010 Operational Transfers - Out</v>
      </c>
      <c r="B31" s="9">
        <v>331398</v>
      </c>
      <c r="C31" s="9">
        <v>390047</v>
      </c>
      <c r="D31" s="9">
        <v>5030188</v>
      </c>
    </row>
    <row r="32" spans="1:3" s="2" customFormat="1" ht="12.75">
      <c r="A32" s="2" t="str">
        <f>"5.020 Advances - Out"</f>
        <v>5.020 Advances - Out</v>
      </c>
      <c r="B32" s="9">
        <v>1655200</v>
      </c>
      <c r="C32" s="9">
        <v>662000</v>
      </c>
    </row>
    <row r="33" spans="1:9" s="2" customFormat="1" ht="12.75">
      <c r="A33" s="2" t="str">
        <f>"5.030 All Other Financing Uses"</f>
        <v>5.030 All Other Financing Uses</v>
      </c>
      <c r="D33" s="9">
        <v>862575</v>
      </c>
      <c r="E33" s="9">
        <v>870000</v>
      </c>
      <c r="F33" s="9">
        <v>870000</v>
      </c>
      <c r="G33" s="9">
        <v>870000</v>
      </c>
      <c r="H33" s="9">
        <v>870000</v>
      </c>
      <c r="I33" s="9">
        <v>870000</v>
      </c>
    </row>
    <row r="34" spans="1:9" s="2" customFormat="1" ht="12.75">
      <c r="A34" s="2" t="str">
        <f>"5.040 Total Other Financing Uses"</f>
        <v>5.040 Total Other Financing Uses</v>
      </c>
      <c r="B34" s="12">
        <v>1986598</v>
      </c>
      <c r="C34" s="12">
        <v>1052047</v>
      </c>
      <c r="D34" s="12">
        <v>5892763</v>
      </c>
      <c r="E34" s="12">
        <v>870000</v>
      </c>
      <c r="F34" s="12">
        <v>870000</v>
      </c>
      <c r="G34" s="12">
        <v>870000</v>
      </c>
      <c r="H34" s="12">
        <v>870000</v>
      </c>
      <c r="I34" s="12">
        <v>870000</v>
      </c>
    </row>
    <row r="35" spans="1:9" s="2" customFormat="1" ht="13.5" thickBot="1">
      <c r="A35" s="2" t="str">
        <f>"5.050 Total Expenditure and Other Financing Uses"</f>
        <v>5.050 Total Expenditure and Other Financing Uses</v>
      </c>
      <c r="B35" s="13">
        <v>64884108</v>
      </c>
      <c r="C35" s="13">
        <v>65181045</v>
      </c>
      <c r="D35" s="13">
        <v>69374254</v>
      </c>
      <c r="E35" s="13">
        <v>61574381</v>
      </c>
      <c r="F35" s="13">
        <v>64988323</v>
      </c>
      <c r="G35" s="13">
        <v>65917173</v>
      </c>
      <c r="H35" s="13">
        <v>66846023</v>
      </c>
      <c r="I35" s="13">
        <v>67774873</v>
      </c>
    </row>
    <row r="36" spans="1:9" s="2" customFormat="1" ht="14.25" thickBot="1" thickTop="1">
      <c r="A36" s="2" t="str">
        <f>"6.010 Excess Rev &amp; Oth Financing Sources over(under) Exp &amp; Oth Financing"</f>
        <v>6.010 Excess Rev &amp; Oth Financing Sources over(under) Exp &amp; Oth Financing</v>
      </c>
      <c r="B36" s="13">
        <v>4769855</v>
      </c>
      <c r="C36" s="13">
        <v>-3052883</v>
      </c>
      <c r="D36" s="13">
        <v>-1941859</v>
      </c>
      <c r="E36" s="13">
        <v>979745</v>
      </c>
      <c r="F36" s="13">
        <v>2874052</v>
      </c>
      <c r="G36" s="13">
        <v>4336061</v>
      </c>
      <c r="H36" s="13">
        <v>3407211</v>
      </c>
      <c r="I36" s="13">
        <v>2478361</v>
      </c>
    </row>
    <row r="37" spans="1:9" s="2" customFormat="1" ht="13.5" thickTop="1">
      <c r="A37" s="2" t="str">
        <f>"7.010 Beginning Cash Balance"</f>
        <v>7.010 Beginning Cash Balance</v>
      </c>
      <c r="B37" s="9">
        <v>305177</v>
      </c>
      <c r="C37" s="9">
        <v>5075032</v>
      </c>
      <c r="D37" s="9">
        <v>2022149</v>
      </c>
      <c r="E37" s="9">
        <v>80290</v>
      </c>
      <c r="F37" s="9">
        <v>1060035</v>
      </c>
      <c r="G37" s="9">
        <v>3934087</v>
      </c>
      <c r="H37" s="9">
        <v>8270148</v>
      </c>
      <c r="I37" s="9">
        <v>11677359</v>
      </c>
    </row>
    <row r="38" spans="1:9" s="2" customFormat="1" ht="12.75">
      <c r="A38" s="2" t="str">
        <f>"7.020 Ending Cash Balance"</f>
        <v>7.020 Ending Cash Balance</v>
      </c>
      <c r="B38" s="9">
        <v>5075032</v>
      </c>
      <c r="C38" s="9">
        <v>2022149</v>
      </c>
      <c r="D38" s="9">
        <v>80290</v>
      </c>
      <c r="E38" s="9">
        <v>1060035</v>
      </c>
      <c r="F38" s="9">
        <v>3934087</v>
      </c>
      <c r="G38" s="9">
        <v>8270148</v>
      </c>
      <c r="H38" s="9">
        <v>11677359</v>
      </c>
      <c r="I38" s="9">
        <v>14155720</v>
      </c>
    </row>
    <row r="39" spans="1:9" s="2" customFormat="1" ht="12.75">
      <c r="A39" s="2" t="str">
        <f>"8.010 Outstanding Encumbrances"</f>
        <v>8.010 Outstanding Encumbrances</v>
      </c>
      <c r="B39" s="9">
        <v>31221</v>
      </c>
      <c r="C39" s="9">
        <v>75509</v>
      </c>
      <c r="D39" s="9">
        <v>59675</v>
      </c>
      <c r="E39" s="9">
        <v>60000</v>
      </c>
      <c r="F39" s="9">
        <v>65000</v>
      </c>
      <c r="G39" s="9">
        <v>65000</v>
      </c>
      <c r="H39" s="9">
        <v>65000</v>
      </c>
      <c r="I39" s="9">
        <v>65000</v>
      </c>
    </row>
    <row r="40" spans="1:9" s="2" customFormat="1" ht="12.75">
      <c r="A40" s="2" t="str">
        <f>"9.060 Property Tax Advance"</f>
        <v>9.060 Property Tax Advance</v>
      </c>
      <c r="E40" s="9">
        <v>5278750</v>
      </c>
      <c r="F40" s="9">
        <v>5278750</v>
      </c>
      <c r="G40" s="9">
        <v>5278750</v>
      </c>
      <c r="H40" s="9">
        <v>5278750</v>
      </c>
      <c r="I40" s="9">
        <v>5278750</v>
      </c>
    </row>
    <row r="41" spans="1:9" s="2" customFormat="1" ht="12.75">
      <c r="A41" s="2" t="str">
        <f>"9.080 Total Reservations"</f>
        <v>9.080 Total Reservations</v>
      </c>
      <c r="E41" s="12">
        <v>5278750</v>
      </c>
      <c r="F41" s="12">
        <v>5278750</v>
      </c>
      <c r="G41" s="12">
        <v>5278750</v>
      </c>
      <c r="H41" s="12">
        <v>5278750</v>
      </c>
      <c r="I41" s="12">
        <v>5278750</v>
      </c>
    </row>
    <row r="42" spans="1:9" s="2" customFormat="1" ht="12.75">
      <c r="A42" s="2" t="str">
        <f>"10.010 Fund Balance June 30 for Certification of Appropriations"</f>
        <v>10.010 Fund Balance June 30 for Certification of Appropriations</v>
      </c>
      <c r="B42" s="9">
        <v>5043811</v>
      </c>
      <c r="C42" s="9">
        <v>1946640</v>
      </c>
      <c r="D42" s="9">
        <v>20615</v>
      </c>
      <c r="E42" s="9">
        <v>-4278715</v>
      </c>
      <c r="F42" s="9">
        <v>-1409663</v>
      </c>
      <c r="G42" s="9">
        <v>2926398</v>
      </c>
      <c r="H42" s="9">
        <v>6333609</v>
      </c>
      <c r="I42" s="9">
        <v>8811970</v>
      </c>
    </row>
    <row r="43" spans="1:9" s="2" customFormat="1" ht="12.75">
      <c r="A43" s="2" t="str">
        <f>"12.010 Fund Bal June 30 for Cert of Contracts,Salary Sched,Oth Obligations"</f>
        <v>12.010 Fund Bal June 30 for Cert of Contracts,Salary Sched,Oth Obligations</v>
      </c>
      <c r="B43" s="9">
        <v>5043811</v>
      </c>
      <c r="C43" s="9">
        <v>1946640</v>
      </c>
      <c r="D43" s="9">
        <v>20615</v>
      </c>
      <c r="E43" s="9">
        <v>-4278715</v>
      </c>
      <c r="F43" s="9">
        <v>-1409663</v>
      </c>
      <c r="G43" s="9">
        <v>2926398</v>
      </c>
      <c r="H43" s="9">
        <v>6333609</v>
      </c>
      <c r="I43" s="9">
        <v>8811970</v>
      </c>
    </row>
    <row r="44" spans="1:9" s="2" customFormat="1" ht="13.5" thickBot="1">
      <c r="A44" s="2" t="str">
        <f>"15.010 Unreserved Fund Balance June 30"</f>
        <v>15.010 Unreserved Fund Balance June 30</v>
      </c>
      <c r="B44" s="13">
        <v>5043811</v>
      </c>
      <c r="C44" s="13">
        <v>1946640</v>
      </c>
      <c r="D44" s="13">
        <v>20615</v>
      </c>
      <c r="E44" s="13">
        <v>-4278715</v>
      </c>
      <c r="F44" s="13">
        <v>-1409663</v>
      </c>
      <c r="G44" s="13">
        <v>2926398</v>
      </c>
      <c r="H44" s="13">
        <v>6333609</v>
      </c>
      <c r="I44" s="13">
        <v>8811970</v>
      </c>
    </row>
    <row r="45" s="2" customFormat="1" ht="13.5" thickTop="1">
      <c r="A45" s="4"/>
    </row>
    <row r="46" s="2" customFormat="1" ht="13.5" thickBot="1">
      <c r="A46" s="4"/>
    </row>
    <row r="47" s="2" customFormat="1" ht="13.5" thickBot="1">
      <c r="A47" s="6" t="s">
        <v>4</v>
      </c>
    </row>
    <row r="48" s="2" customFormat="1" ht="12.75">
      <c r="A48" s="4"/>
    </row>
    <row r="49" s="2" customFormat="1" ht="12.75">
      <c r="A49" s="4"/>
    </row>
    <row r="50" spans="1:8" s="2" customFormat="1" ht="12.75">
      <c r="A50" s="19" t="str">
        <f>"Please visit the Ohio Department of Education website at"</f>
        <v>Please visit the Ohio Department of Education website at</v>
      </c>
      <c r="B50" s="19"/>
      <c r="C50" s="19"/>
      <c r="D50" s="19"/>
      <c r="E50" s="19"/>
      <c r="F50" s="19"/>
      <c r="G50" s="19"/>
      <c r="H50" s="19"/>
    </row>
    <row r="51" spans="1:8" s="2" customFormat="1" ht="12.75">
      <c r="A51" s="19" t="str">
        <f>"ftp://ftp.ode.state.oh.us/geodoc/5-yrForecast/."</f>
        <v>ftp://ftp.ode.state.oh.us/geodoc/5-yrForecast/.</v>
      </c>
      <c r="B51" s="19"/>
      <c r="C51" s="19"/>
      <c r="D51" s="19"/>
      <c r="E51" s="19"/>
      <c r="F51" s="19"/>
      <c r="G51" s="19"/>
      <c r="H51" s="19"/>
    </row>
  </sheetData>
  <mergeCells count="5">
    <mergeCell ref="A51:H51"/>
    <mergeCell ref="A1:J1"/>
    <mergeCell ref="B8:D8"/>
    <mergeCell ref="E8:I8"/>
    <mergeCell ref="A50:H5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</cp:lastModifiedBy>
  <dcterms:created xsi:type="dcterms:W3CDTF">2014-08-25T12:12:27Z</dcterms:created>
  <dcterms:modified xsi:type="dcterms:W3CDTF">2014-08-25T14:58:41Z</dcterms:modified>
  <cp:category/>
  <cp:version/>
  <cp:contentType/>
  <cp:contentStatus/>
</cp:coreProperties>
</file>